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35" windowWidth="16935" windowHeight="8130" activeTab="2"/>
  </bookViews>
  <sheets>
    <sheet name="About the workbook" sheetId="1" r:id="rId1"/>
    <sheet name="Monthly Instructions" sheetId="2" r:id="rId2"/>
    <sheet name="County One Time Input-BASE" sheetId="3" r:id="rId3"/>
    <sheet name="Monthly Receipts Input" sheetId="4" r:id="rId4"/>
    <sheet name="County Dist Support Svc Acct" sheetId="5" r:id="rId5"/>
    <sheet name="County Distribution Law Enf" sheetId="6" r:id="rId6"/>
    <sheet name="Statewide Forecast Model" sheetId="7" r:id="rId7"/>
    <sheet name="County One Time Input-GROWTH" sheetId="8" r:id="rId8"/>
  </sheets>
  <definedNames/>
  <calcPr fullCalcOnLoad="1"/>
</workbook>
</file>

<file path=xl/comments8.xml><?xml version="1.0" encoding="utf-8"?>
<comments xmlns="http://schemas.openxmlformats.org/spreadsheetml/2006/main">
  <authors>
    <author>GG</author>
  </authors>
  <commentList>
    <comment ref="B73" authorId="0">
      <text>
        <r>
          <rPr>
            <b/>
            <sz val="8"/>
            <rFont val="Tahoma"/>
            <family val="0"/>
          </rPr>
          <t>GG:</t>
        </r>
        <r>
          <rPr>
            <sz val="8"/>
            <rFont val="Tahoma"/>
            <family val="0"/>
          </rPr>
          <t xml:space="preserve">
Actual Growth receipt distribution (based on total CWS, 90%, and 10% PS)</t>
        </r>
      </text>
    </comment>
    <comment ref="B148" authorId="0">
      <text>
        <r>
          <rPr>
            <b/>
            <sz val="8"/>
            <rFont val="Tahoma"/>
            <family val="0"/>
          </rPr>
          <t>GG:</t>
        </r>
        <r>
          <rPr>
            <sz val="8"/>
            <rFont val="Tahoma"/>
            <family val="0"/>
          </rPr>
          <t xml:space="preserve">
Actual Growth receipt distribution (based on total CWS, 90%, and 10% PS)</t>
        </r>
      </text>
    </comment>
  </commentList>
</comments>
</file>

<file path=xl/sharedStrings.xml><?xml version="1.0" encoding="utf-8"?>
<sst xmlns="http://schemas.openxmlformats.org/spreadsheetml/2006/main" count="1447" uniqueCount="309">
  <si>
    <t xml:space="preserve">For the Month of    </t>
  </si>
  <si>
    <t>Subaccount</t>
  </si>
  <si>
    <t>Subaccount Distribution
Statewide Per SB1020</t>
  </si>
  <si>
    <t>% Of Distribution</t>
  </si>
  <si>
    <t>Statewide Estimate per Actual Receipts to Date</t>
  </si>
  <si>
    <t>Estimate vs Allocation Variance</t>
  </si>
  <si>
    <t>Statewide Allocation per SB1020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</si>
  <si>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</si>
  <si>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</si>
  <si>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</si>
  <si>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</si>
  <si>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</si>
  <si>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</si>
  <si>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</si>
  <si>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</si>
  <si>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</si>
  <si>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</si>
  <si>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</si>
  <si>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</si>
  <si>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BASED ON RECEIPTS THROUGH:</t>
  </si>
  <si>
    <t>STATEWIDE MONTHLY RECEIPTS - SUPPORT SERVICES ACCOUNT</t>
  </si>
  <si>
    <t>SUBACCOUNT</t>
  </si>
  <si>
    <t>SUBACCT DISTRIBUTION</t>
  </si>
  <si>
    <t>WCRTS</t>
  </si>
  <si>
    <t>TOTAL SUPPORT SVCS RECEIPTS</t>
  </si>
  <si>
    <t>FOR CALCULATIONS</t>
  </si>
  <si>
    <t>DO NOT DELETE</t>
  </si>
  <si>
    <t>% TO DATE</t>
  </si>
  <si>
    <t>AB 12</t>
  </si>
  <si>
    <t>Foster Care Administration</t>
  </si>
  <si>
    <t>Adult Protective Services</t>
  </si>
  <si>
    <t>Contract Svcs Acct - Santa Clara</t>
  </si>
  <si>
    <t>Adoption Assistance Program</t>
  </si>
  <si>
    <t>Foster Care (Assistance)****</t>
  </si>
  <si>
    <t>Adoptions (Admin)</t>
  </si>
  <si>
    <t xml:space="preserve">Child Abuse Prevention (CAPIT) </t>
  </si>
  <si>
    <t>Child Welfare Services</t>
  </si>
  <si>
    <t>PROGRAM</t>
  </si>
  <si>
    <t>STATEWIDE % DIST BASED ON CFL 12/13-16</t>
  </si>
  <si>
    <t>STATEWIDE DISTRIBUTION TO PROGRAMS</t>
  </si>
  <si>
    <t>PROTECTIVE SERVICES SUBACCOUNT DETAIL</t>
  </si>
  <si>
    <t>TOTAL</t>
  </si>
  <si>
    <t>SUBACCT % DISTRIBUTION</t>
  </si>
  <si>
    <t>BEHAVIORAL HEALTH SUBACCOUNT DETAIL</t>
  </si>
  <si>
    <t>Substance Abuse Fund</t>
  </si>
  <si>
    <t>Mental Health Fund</t>
  </si>
  <si>
    <t>PLEASE DO NOT ENTER ANYTHING BELOW THIS LINE. THANK YOU</t>
  </si>
  <si>
    <t>WCRTS SUBACCOUNT DETAIL</t>
  </si>
  <si>
    <t>Emancipated Youth Stipend</t>
  </si>
  <si>
    <t>STOP</t>
  </si>
  <si>
    <t>Group Home Monthly Visit</t>
  </si>
  <si>
    <t>ILP</t>
  </si>
  <si>
    <t>Foster Parent Training &amp; Recruitment</t>
  </si>
  <si>
    <t>Kinship Foster Care Emer. Fund</t>
  </si>
  <si>
    <t>State Family Preservation</t>
  </si>
  <si>
    <t>Subtance Abuse/HIV Infant Program</t>
  </si>
  <si>
    <t>CWSOIP/DR/SA/PYS</t>
  </si>
  <si>
    <t>CWSOIP - Probation</t>
  </si>
  <si>
    <t>Kinship Suport Services Program</t>
  </si>
  <si>
    <t>THPP &amp; THP-Plus</t>
  </si>
  <si>
    <t>CWS Basic &amp; Augmentation</t>
  </si>
  <si>
    <t>EA Foster Care</t>
  </si>
  <si>
    <t>FEDGAP Admin</t>
  </si>
  <si>
    <t>Drug Medi-Cal</t>
  </si>
  <si>
    <t>NonDrug Medi-Cal</t>
  </si>
  <si>
    <t>Drug Court</t>
  </si>
  <si>
    <t>EPSDT</t>
  </si>
  <si>
    <t>Medical Managed Care</t>
  </si>
  <si>
    <t>Healthy Families</t>
  </si>
  <si>
    <t>Katie A. Services</t>
  </si>
  <si>
    <t>EPSDT Base Allocation</t>
  </si>
  <si>
    <t>Breakdown of SUBSTANCE ABUSE FUND by Component</t>
  </si>
  <si>
    <t>Breakdown of FOSTER CARE ADMINISTRATION by Component</t>
  </si>
  <si>
    <t>Breakdown of CHILD WELFARE SERVICES by Component</t>
  </si>
  <si>
    <t>Breakdown of MENTAL HEALTH FUND by Component</t>
  </si>
  <si>
    <t>Breakdown of EPSDT by Component</t>
  </si>
  <si>
    <t>TOTAL EPSDT</t>
  </si>
  <si>
    <t>TOTAL SUBSTANCE ABUSE</t>
  </si>
  <si>
    <t>TOTAL MENTAL HEALTH</t>
  </si>
  <si>
    <t>TOTAL BEHAVIORAL HEALTH</t>
  </si>
  <si>
    <t>TOTAL CHILD WELFARE SERVICES</t>
  </si>
  <si>
    <t>TOTAL FC ADMINISTRATION</t>
  </si>
  <si>
    <t>STATEWIDE MONTHLY RECEIPTS - LAW ENFORCEMENT SERVICES ACCOUNT</t>
  </si>
  <si>
    <t>PROTECTIVE SERVICES</t>
  </si>
  <si>
    <t>BEHAVIORAL HEALTH</t>
  </si>
  <si>
    <t>TRIAL COURT SECURITY</t>
  </si>
  <si>
    <t>COMMUNITY CORRECTIONS</t>
  </si>
  <si>
    <t>DA &amp; PUBLIC DEFENDER</t>
  </si>
  <si>
    <t>WCRTS (FIXED AMT)</t>
  </si>
  <si>
    <t>TOTAL SS AND LAW ENFORCE</t>
  </si>
  <si>
    <t>FORECAST MODEL - LOCAL REVENUE FUND 2011</t>
  </si>
  <si>
    <t>TOTAL LAW ENF SVC RECEIPTS</t>
  </si>
  <si>
    <t>TOTAL SS AND LAW ENF SVC</t>
  </si>
  <si>
    <t>% To Total LRF</t>
  </si>
  <si>
    <t>STATEWIDE RECEIPTS - SUPPORT SERVICES ACCOUNT</t>
  </si>
  <si>
    <t>TOTAL PROTECTIVE SERVICE</t>
  </si>
  <si>
    <t>% Of Distribution (Per SB1020)</t>
  </si>
  <si>
    <t>COUNTY:</t>
  </si>
  <si>
    <t>SUPPORT SERVICES ACCOUNT</t>
  </si>
  <si>
    <t>LAW ENFORCEMENT SERVICES ACCOUNT</t>
  </si>
  <si>
    <t>FISCAL YEAR:</t>
  </si>
  <si>
    <t>% To Total Local Revenue Fund 2011</t>
  </si>
  <si>
    <t>TOTAL PROTECTIVE SVC</t>
  </si>
  <si>
    <t>COUNTY PORTION</t>
  </si>
  <si>
    <t>PLEASE DO NOT INPUT ANYTHING ON THIS PAGE. THANK YOU.</t>
  </si>
  <si>
    <t>JUVENILE JUSTICE</t>
  </si>
  <si>
    <t>STATEWIDE % DIST BASED ON SPREADSHEET</t>
  </si>
  <si>
    <t>STATEWIDE RECEIPTS - LAW ENFORCEMENT SERVICES ACCOUNT</t>
  </si>
  <si>
    <t>TOTAL CTY LAW ENF SVC RECEIPTS</t>
  </si>
  <si>
    <t>TOTAL CTY SUPPORT SVCS RECEIPTS</t>
  </si>
  <si>
    <t>PROP 172 RATIOS</t>
  </si>
  <si>
    <t>PROP 172 %</t>
  </si>
  <si>
    <t>About the Workbook:</t>
  </si>
  <si>
    <t>2. The left side is Statewide distribution information, the right side is County information.</t>
  </si>
  <si>
    <t>Monthly Receipts Input sheet: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</si>
  <si>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>are the required information that need to be populated each month</t>
    </r>
  </si>
  <si>
    <t>2. Click on any of the Sub accounts to get to the LRF 2011 reconciliation page which shows the Statewide monthly receipts</t>
  </si>
  <si>
    <t>Statewide Forecast Model sheet:</t>
  </si>
  <si>
    <t>County Dist Support Svc Acct sheet:</t>
  </si>
  <si>
    <t>1. Shows county portion of Support Service receipts and distribution to programs based on information entered on the input sheets</t>
  </si>
  <si>
    <t>County Distribution Law Enf sheet:</t>
  </si>
  <si>
    <t>1. Shows county portion of Law Enforcement Account receipts based on information entered on the input sheets</t>
  </si>
  <si>
    <t>Behavioral Health Distribution</t>
  </si>
  <si>
    <t>4. Sources:</t>
  </si>
  <si>
    <t>1. Shows actual receipts to date and compares Statewide allocation vs estimate (based on Prop 172 percentage)</t>
  </si>
  <si>
    <t>Go to Monthly Receipts Input tab and click on Protective Services Link (cell A5)</t>
  </si>
  <si>
    <t>REALIGNMENT - STATEWIDE LOCAL REVENUE FUND 2011</t>
  </si>
  <si>
    <t>On cell D1, input the MONTH</t>
  </si>
  <si>
    <t>DO NOT ENTER ANYTHING ELSE BELOW OR IN THE FOLLOWING TABS</t>
  </si>
  <si>
    <t>Complete lines 5-7 and 14-17 of the corresponding month</t>
  </si>
  <si>
    <t>Verify that the totals in the bottom portion match with your entries</t>
  </si>
  <si>
    <t>Go to County Dist Support Svc Acct tab, compare the distribution totals with the AB 118 Analysis file</t>
  </si>
  <si>
    <t>Print a copy of the Statewide Forcast Model tab for Robert</t>
  </si>
  <si>
    <r>
      <t xml:space="preserve">Open the latest Statewide Local Revenue Fund file and </t>
    </r>
    <r>
      <rPr>
        <b/>
        <sz val="10"/>
        <color indexed="8"/>
        <rFont val="Calibri"/>
        <family val="2"/>
      </rPr>
      <t>Save</t>
    </r>
    <r>
      <rPr>
        <sz val="10"/>
        <color indexed="8"/>
        <rFont val="Calibri"/>
        <family val="2"/>
      </rPr>
      <t xml:space="preserve"> with payment issue date (found on Remittance advice)</t>
    </r>
  </si>
  <si>
    <t>FREQUENCY/SCHEDULE:</t>
  </si>
  <si>
    <t>Monthly - End of the Month</t>
  </si>
  <si>
    <t>PATH:</t>
  </si>
  <si>
    <t>G:\FISCAL\Realignment\2012 Realignment</t>
  </si>
  <si>
    <t>Click on the Reconciliation of the current Fiscal Year</t>
  </si>
  <si>
    <t>Print and refer to the recon file when completing the following on the Monthly Receipts Input sheet:</t>
  </si>
  <si>
    <t xml:space="preserve">SANTA CLARA -Contract Svcs </t>
  </si>
  <si>
    <t xml:space="preserve">TOTAL </t>
  </si>
  <si>
    <t>PROTECTIVE SERVICES ALLOCATION</t>
  </si>
  <si>
    <t>(EXCLUDING WCRTS)</t>
  </si>
  <si>
    <t>ALLOCATION OF SUPPORT SERVICES</t>
  </si>
  <si>
    <t>DISTRIBUTION BY COUNTY - SUPPORT SERVICES</t>
  </si>
  <si>
    <t>DISTRIBUTION BY COUNTY - LAW ENFORCEMENT ACCOUNT</t>
  </si>
  <si>
    <t>COUNTY</t>
  </si>
  <si>
    <t>STATEWIDE % DIST BASED SB 1020</t>
  </si>
  <si>
    <t>ALAMEDA COUNTY</t>
  </si>
  <si>
    <t>MARIN COUNTY</t>
  </si>
  <si>
    <t>LOS ANGELES COUNTY</t>
  </si>
  <si>
    <t>SAN DIEGO COUNTY</t>
  </si>
  <si>
    <t>SAN FRANCISCO COUNTY</t>
  </si>
  <si>
    <t>SAN JOAQUIN COUNTY</t>
  </si>
  <si>
    <t>TOTAL WCRTS</t>
  </si>
  <si>
    <t>DA/PUBLIC DEFENDER</t>
  </si>
  <si>
    <t>DISTRICT ATTY/PUBLIC DEFENDER</t>
  </si>
  <si>
    <t>ALLOCATION OF LAW ENFORCEMENT SERVICES ACCOUNT</t>
  </si>
  <si>
    <t>STATEWIDE % DIST BASED ON CFL 12/13-16 + GROWTH</t>
  </si>
  <si>
    <t>Youth Offender Block Grant</t>
  </si>
  <si>
    <t>Juvenile Reentry Grant</t>
  </si>
  <si>
    <t>DISTRIBUTION BY COUNTY - JUVENILE JUSTICE SUBACCOUNT</t>
  </si>
  <si>
    <t>YOUTH OFFENDER BLOCK GRANT</t>
  </si>
  <si>
    <t>JUVENILE REENTRY GRANT</t>
  </si>
  <si>
    <t>YOUTH OFFENDER BLOCK</t>
  </si>
  <si>
    <t>JUVENILE REENTRY</t>
  </si>
  <si>
    <t>GROWTH AMOUNT TO DISTRIBUTE:</t>
  </si>
  <si>
    <t>PROTECTIVE SERVICES GROWTH SPECIAL ACCT</t>
  </si>
  <si>
    <t>BEHAVIORAL HEALTH GROWTH SPECIAL ACCT</t>
  </si>
  <si>
    <t>TRIAL COURT SECURITY GROWTH SPECIAL ACCT</t>
  </si>
  <si>
    <t>COMMUNITY CORRECTIONS GROWTH SPECIAL ACCT</t>
  </si>
  <si>
    <t>DA &amp; PUBLIC DEFENDER GROWTH SPECIAL ACCT</t>
  </si>
  <si>
    <t>JUVENILE JUSTICE GROWTH SPECIAL ACCT</t>
  </si>
  <si>
    <t>% Of Growth Distribution</t>
  </si>
  <si>
    <t>MENTAL HEALTH (info only)</t>
  </si>
  <si>
    <t>TOTAL (excl Mental Health)</t>
  </si>
  <si>
    <t>TOTAL SS AND LAW ENFORCE (excluding Mental Health)</t>
  </si>
  <si>
    <t>GROWTH</t>
  </si>
  <si>
    <t>GROWTH DISTRIB</t>
  </si>
  <si>
    <t>PROP 172 % TO DATE</t>
  </si>
  <si>
    <t>GROWTH %  DIST</t>
  </si>
  <si>
    <t>SAN MATEO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</si>
  <si>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</si>
  <si>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</si>
  <si>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</si>
  <si>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</si>
  <si>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</si>
  <si>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</si>
  <si>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</si>
  <si>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</si>
  <si>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</si>
  <si>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</si>
  <si>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</si>
  <si>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</si>
  <si>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</si>
  <si>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</si>
  <si>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</si>
  <si>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</si>
  <si>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</si>
  <si>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</si>
  <si>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</si>
  <si>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</si>
  <si>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</si>
  <si>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</si>
  <si>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</si>
  <si>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</si>
  <si>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</si>
  <si>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</si>
  <si>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</si>
  <si>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</si>
  <si>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</si>
  <si>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</si>
  <si>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</si>
  <si>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</si>
  <si>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</si>
  <si>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</si>
  <si>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</si>
  <si>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</si>
  <si>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</si>
  <si>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</si>
  <si>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</si>
  <si>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</si>
  <si>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</si>
  <si>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</si>
  <si>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</si>
  <si>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</si>
  <si>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</si>
  <si>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</si>
  <si>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</si>
  <si>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</si>
  <si>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</si>
  <si>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</si>
  <si>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</si>
  <si>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</si>
  <si>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</si>
  <si>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</si>
  <si>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</si>
  <si>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</si>
  <si>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</si>
  <si>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 Mateo</t>
  </si>
  <si>
    <t xml:space="preserve">Subaccount Distribution of Growth
</t>
  </si>
  <si>
    <t>% To Total Growth</t>
  </si>
  <si>
    <t>CWS ONLY</t>
  </si>
  <si>
    <t>***Allocations and Ratios Change every year***</t>
  </si>
  <si>
    <t>SAME % AS 2012-13 BASE</t>
  </si>
  <si>
    <t>***Still pending correct distribution by program for protective services***</t>
  </si>
  <si>
    <t>***Allocations and Ratios Change every year.  The amount of the 2012-13 Growth allocations are subject to change***</t>
  </si>
  <si>
    <t>The first three sheets (excluding instructions, notes, and this page) are the input sheets. The last 3 are all straight up calculations.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</si>
  <si>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 xml:space="preserve">are the required information that need to be populated in the </t>
    </r>
    <r>
      <rPr>
        <b/>
        <sz val="12"/>
        <color indexed="8"/>
        <rFont val="Times New Roman"/>
        <family val="1"/>
      </rPr>
      <t>beginning of the year.</t>
    </r>
  </si>
  <si>
    <t>County One Time Input - BASE sheet:</t>
  </si>
  <si>
    <t>NOTE: The base amount, Distribution by Program, and by County change every year</t>
  </si>
  <si>
    <t>County One Time Input - GROWTH sheet: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</si>
  <si>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 xml:space="preserve">are the required information that need to be populated towards the </t>
    </r>
    <r>
      <rPr>
        <b/>
        <sz val="12"/>
        <color indexed="8"/>
        <rFont val="Times New Roman"/>
        <family val="1"/>
      </rPr>
      <t xml:space="preserve">end of the year, </t>
    </r>
  </si>
  <si>
    <t>when growth amount and distribution are determined.</t>
  </si>
  <si>
    <t>Statewide GROWTH Distribution</t>
  </si>
  <si>
    <t>Protective Services Distribution 2012-13 only</t>
  </si>
  <si>
    <t>Statewide Distribution/ Law Enforcement Distribution by County</t>
  </si>
  <si>
    <t xml:space="preserve">Protective Services GROWTH dist - </t>
  </si>
  <si>
    <t>Distribution % provided by Department of Finance</t>
  </si>
  <si>
    <t>Behavioral Health GROWTH Distribution</t>
  </si>
  <si>
    <t>Used 2012-13 distribution</t>
  </si>
  <si>
    <t>Juvenile Justice GROWTH Distribution</t>
  </si>
  <si>
    <t>***Allocations and Ratios Change every year.  Below distributions are estimates, pending distribution ratios from DOF***</t>
  </si>
  <si>
    <t>Alameda</t>
  </si>
  <si>
    <t>Marin</t>
  </si>
  <si>
    <t>Los Angeles</t>
  </si>
  <si>
    <t>San Diego</t>
  </si>
  <si>
    <t>San Francisco</t>
  </si>
  <si>
    <t>San Joaquin</t>
  </si>
  <si>
    <r>
      <t xml:space="preserve">3. Enter the correct </t>
    </r>
    <r>
      <rPr>
        <sz val="12"/>
        <color indexed="12"/>
        <rFont val="Times New Roman"/>
        <family val="1"/>
      </rPr>
      <t>MONTH</t>
    </r>
    <r>
      <rPr>
        <sz val="12"/>
        <color indexed="8"/>
        <rFont val="Times New Roman"/>
        <family val="1"/>
      </rPr>
      <t xml:space="preserve"> to calculate the Prop 172/Growth Estimate correctly</t>
    </r>
  </si>
  <si>
    <t>TBD</t>
  </si>
  <si>
    <t>PENDING DISTRIBUTION % BY COUNTY</t>
  </si>
  <si>
    <t>PENDING COUNTY DISTRIB RATIO</t>
  </si>
  <si>
    <t>TO BE DETERMINED</t>
  </si>
  <si>
    <t xml:space="preserve">For Law Enforcement Services GROWTH, the County % distributions have all been left at "TBD". Once the ratios are entered,  </t>
  </si>
  <si>
    <t>the distribution amounts will be automatically calculated</t>
  </si>
  <si>
    <t>NOTES: Growth Amount and distibutions are subject to change.  We are still waiting for distribution ratios from DOF.</t>
  </si>
  <si>
    <r>
      <t xml:space="preserve">USED 2012-13 TOTAL </t>
    </r>
    <r>
      <rPr>
        <u val="single"/>
        <sz val="10"/>
        <color indexed="10"/>
        <rFont val="Calibri"/>
        <family val="2"/>
      </rPr>
      <t>RECEIPTS</t>
    </r>
    <r>
      <rPr>
        <sz val="10"/>
        <color indexed="10"/>
        <rFont val="Calibri"/>
        <family val="2"/>
      </rPr>
      <t xml:space="preserve"> DIST RATIO</t>
    </r>
  </si>
  <si>
    <t>SEE BELOW</t>
  </si>
  <si>
    <t>PER SB1020 30029.05</t>
  </si>
  <si>
    <t>PER BH WORKBOOK</t>
  </si>
  <si>
    <r>
      <t xml:space="preserve">3. Entering the </t>
    </r>
    <r>
      <rPr>
        <sz val="12"/>
        <color indexed="12"/>
        <rFont val="Times New Roman"/>
        <family val="1"/>
      </rPr>
      <t>County Name</t>
    </r>
    <r>
      <rPr>
        <sz val="12"/>
        <color indexed="8"/>
        <rFont val="Times New Roman"/>
        <family val="1"/>
      </rPr>
      <t xml:space="preserve"> on cell C2 changes all headers to appropriate county.</t>
    </r>
  </si>
  <si>
    <r>
      <t xml:space="preserve">3. The County Information entered on the Input - BASE page </t>
    </r>
    <r>
      <rPr>
        <u val="single"/>
        <sz val="12"/>
        <color indexed="8"/>
        <rFont val="Times New Roman"/>
        <family val="1"/>
      </rPr>
      <t>automatically changes</t>
    </r>
    <r>
      <rPr>
        <sz val="12"/>
        <color indexed="8"/>
        <rFont val="Times New Roman"/>
        <family val="1"/>
      </rPr>
      <t xml:space="preserve"> the county name on the GROWTH page</t>
    </r>
  </si>
  <si>
    <r>
      <t xml:space="preserve">This also looks up and populates the County percentages based on the </t>
    </r>
    <r>
      <rPr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input below the page.</t>
    </r>
  </si>
  <si>
    <r>
      <t xml:space="preserve">This also looks up and populates the County percentages based on the </t>
    </r>
    <r>
      <rPr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input on the Growth page.</t>
    </r>
  </si>
  <si>
    <t>ACTUAL GROWTH</t>
  </si>
  <si>
    <t>ESTIMATED GROWTH BASED ON SW FORECAST</t>
  </si>
  <si>
    <t>ACTUAL DIST</t>
  </si>
  <si>
    <t>PROTECTIVE SERVICES ALLOCATION 90%</t>
  </si>
  <si>
    <t>PROTECTIVE SERVICES ALLOCATION 10%</t>
  </si>
  <si>
    <t>PROTECTIVE SERVICES ALLOCATION CWS</t>
  </si>
  <si>
    <t>PS GROWTH 90%</t>
  </si>
  <si>
    <t>PS GROWTH 10%</t>
  </si>
  <si>
    <t>PROTECTIVE SERVICES 90%</t>
  </si>
  <si>
    <t>PROTECTIVE SERVICES 10%</t>
  </si>
  <si>
    <t>COUNTY PROTECTIVE SVC 90%</t>
  </si>
  <si>
    <t>COUNTY PROTECTIVE SVC 10%</t>
  </si>
  <si>
    <t>PROTECTIVE SERVICES CWS</t>
  </si>
  <si>
    <t>PROTECTIVE SERVICES GROWTH SPECIAL ACCT CWS</t>
  </si>
  <si>
    <t>GROWTH %  DIST (FOR 90% PS)</t>
  </si>
  <si>
    <t>GROWTH (INCL CWS AND 10% PS)</t>
  </si>
  <si>
    <t>NEW % FOR ENTIRE PS GROWTH</t>
  </si>
  <si>
    <t>2013-14</t>
  </si>
  <si>
    <t>PER CFL 13/14 - 27</t>
  </si>
  <si>
    <t xml:space="preserve">*** USING % DISTRIBUTION PROVIDED BY STATE CONTROLLERS AND CFL </t>
  </si>
  <si>
    <t>Subaccount Distribution
Statewide</t>
  </si>
  <si>
    <t>STATEWIDE % DIST BASED ON CFL 13/14-27</t>
  </si>
  <si>
    <t>STATEWIDE % DIST BASED ON SPREADSHEET FROM 2012-13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</si>
</sst>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%"/>
    <numFmt numFmtId="166" formatCode="0.0000000%"/>
    <numFmt numFmtId="167" formatCode="0.0000000000"/>
    <numFmt numFmtId="168" formatCode="#,##0.0_);\(#,##0.0\)"/>
    <numFmt numFmtId="169" formatCode="0.000%"/>
    <numFmt numFmtId="170" formatCode="0.0000%"/>
    <numFmt numFmtId="171" formatCode="0.00000%"/>
    <numFmt numFmtId="172" formatCode="0.000000%"/>
    <numFmt numFmtId="173" formatCode="0.000000000%"/>
    <numFmt numFmtId="174" formatCode="0.0000000000%"/>
    <numFmt numFmtId="175" formatCode="_(* #,##0.000000000_);_(* \(#,##0.000000000\);_(* &quot;-&quot;?????????_);_(@_)"/>
    <numFmt numFmtId="176" formatCode="0.0"/>
    <numFmt numFmtId="177" formatCode="_(* #,##0.00000000_);_(* \(#,##0.00000000\);_(* &quot;-&quot;????????_);_(@_)"/>
    <numFmt numFmtId="178" formatCode="_(* #,##0.0_);_(* \(#,##0.0\);_(* &quot;-&quot;??_);_(@_)"/>
    <numFmt numFmtId="179" formatCode="_(* #,##0_);_(* \(#,##0\);_(* &quot;-&quot;??_);_(@_)"/>
    <numFmt numFmtId="180" formatCode="0.00_);[Red]\(0.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#,##0.000_);[Red]\(#,##0.000\)"/>
    <numFmt numFmtId="189" formatCode="#,##0.0000_);[Red]\(#,##0.0000\)"/>
    <numFmt numFmtId="190" formatCode="_(* #,##0.0000000000_);_(* \(#,##0.0000000000\);_(* &quot;-&quot;??????????_);_(@_)"/>
    <numFmt numFmtId="191" formatCode="#,##0.00000_);[Red]\(#,##0.00000\)"/>
    <numFmt numFmtId="192" formatCode="#,##0.000_);\(#,##0.000\)"/>
    <numFmt numFmtId="193" formatCode="#,##0.0000_);\(#,##0.0000\)"/>
    <numFmt numFmtId="194" formatCode="0.00000000000%"/>
    <numFmt numFmtId="195" formatCode="0.0%"/>
    <numFmt numFmtId="196" formatCode="0.0000000"/>
    <numFmt numFmtId="197" formatCode="0.000000"/>
    <numFmt numFmtId="198" formatCode="0.00000000"/>
    <numFmt numFmtId="199" formatCode="0.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&quot;$&quot;* #,##0.0_);_(&quot;$&quot;* \(#,##0.0\);_(&quot;$&quot;* &quot;-&quot;??_);_(@_)"/>
    <numFmt numFmtId="205" formatCode="#,##0.0_);[Red]\(#,##0.0\)"/>
    <numFmt numFmtId="206" formatCode="0.00000"/>
    <numFmt numFmtId="207" formatCode="0_);[Red]\(0\)"/>
    <numFmt numFmtId="208" formatCode="0.0_);[Red]\(0.0\)"/>
    <numFmt numFmtId="209" formatCode="0.0000_);[Red]\(0.0000\)"/>
    <numFmt numFmtId="210" formatCode="_(* #,##0.0000_);_(* \(#,##0.0000\);_(* &quot;-&quot;????_);_(@_)"/>
    <numFmt numFmtId="211" formatCode="0.000"/>
    <numFmt numFmtId="212" formatCode="_(* #,##0.000_);_(* \(#,##0.000\);_(* &quot;-&quot;???_);_(@_)"/>
    <numFmt numFmtId="213" formatCode="_(* #,##0.0_);_(* \(#,##0.0\);_(* &quot;-&quot;?_);_(@_)"/>
    <numFmt numFmtId="214" formatCode="_(* #,##0.00000_);_(* \(#,##0.00000\);_(* &quot;-&quot;?????_);_(@_)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i/>
      <sz val="11"/>
      <color indexed="55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9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2"/>
      <color indexed="10"/>
      <name val="Times New Roman"/>
      <family val="1"/>
    </font>
    <font>
      <u val="single"/>
      <sz val="10"/>
      <color indexed="10"/>
      <name val="Arial"/>
      <family val="0"/>
    </font>
    <font>
      <i/>
      <sz val="10"/>
      <color indexed="12"/>
      <name val="Calibri"/>
      <family val="2"/>
    </font>
    <font>
      <b/>
      <i/>
      <sz val="11"/>
      <color indexed="23"/>
      <name val="Calibri"/>
      <family val="2"/>
    </font>
    <font>
      <i/>
      <sz val="10"/>
      <color indexed="55"/>
      <name val="Arial"/>
      <family val="2"/>
    </font>
    <font>
      <i/>
      <sz val="10"/>
      <color indexed="55"/>
      <name val="Calibri"/>
      <family val="2"/>
    </font>
    <font>
      <i/>
      <sz val="10"/>
      <color indexed="23"/>
      <name val="Arial"/>
      <family val="0"/>
    </font>
    <font>
      <b/>
      <i/>
      <sz val="9"/>
      <color indexed="23"/>
      <name val="Calibri"/>
      <family val="2"/>
    </font>
    <font>
      <b/>
      <sz val="8"/>
      <color indexed="12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i/>
      <sz val="9"/>
      <color indexed="23"/>
      <name val="Calibri"/>
      <family val="2"/>
    </font>
    <font>
      <b/>
      <sz val="12"/>
      <color indexed="8"/>
      <name val="Times New Roman"/>
      <family val="1"/>
    </font>
    <font>
      <sz val="9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Calibri"/>
      <family val="2"/>
    </font>
    <font>
      <sz val="12"/>
      <color indexed="12"/>
      <name val="Times New Roman"/>
      <family val="1"/>
    </font>
    <font>
      <u val="single"/>
      <sz val="11"/>
      <color indexed="12"/>
      <name val="Arial"/>
      <family val="0"/>
    </font>
    <font>
      <i/>
      <sz val="11"/>
      <color indexed="23"/>
      <name val="Arial"/>
      <family val="0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i/>
      <sz val="10"/>
      <color indexed="48"/>
      <name val="Calibri"/>
      <family val="2"/>
    </font>
    <font>
      <u val="single"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9"/>
      <color indexed="55"/>
      <name val="Calibri"/>
      <family val="2"/>
    </font>
    <font>
      <sz val="8"/>
      <color indexed="8"/>
      <name val="Calibri"/>
      <family val="2"/>
    </font>
    <font>
      <sz val="8"/>
      <color indexed="55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/>
      <bottom style="thin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/>
      <right style="medium"/>
      <top/>
      <bottom style="hair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/>
      <right/>
      <top style="medium"/>
      <bottom style="hair"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ashed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64" fontId="15" fillId="20" borderId="10" xfId="44" applyNumberFormat="1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165" fontId="0" fillId="0" borderId="12" xfId="59" applyNumberFormat="1" applyFont="1" applyBorder="1" applyAlignment="1">
      <alignment horizontal="right" vertical="center"/>
    </xf>
    <xf numFmtId="164" fontId="0" fillId="0" borderId="12" xfId="44" applyNumberFormat="1" applyFont="1" applyFill="1" applyBorder="1" applyAlignment="1">
      <alignment horizontal="left" vertical="center" wrapText="1"/>
    </xf>
    <xf numFmtId="38" fontId="0" fillId="0" borderId="12" xfId="44" applyNumberFormat="1" applyFont="1" applyFill="1" applyBorder="1" applyAlignment="1">
      <alignment/>
    </xf>
    <xf numFmtId="38" fontId="0" fillId="0" borderId="13" xfId="0" applyNumberFormat="1" applyBorder="1" applyAlignment="1">
      <alignment horizontal="right" vertical="center" wrapText="1"/>
    </xf>
    <xf numFmtId="38" fontId="0" fillId="0" borderId="14" xfId="44" applyNumberFormat="1" applyFont="1" applyFill="1" applyBorder="1" applyAlignment="1">
      <alignment/>
    </xf>
    <xf numFmtId="38" fontId="0" fillId="0" borderId="15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0" fillId="21" borderId="0" xfId="0" applyNumberFormat="1" applyFill="1" applyAlignment="1">
      <alignment/>
    </xf>
    <xf numFmtId="38" fontId="0" fillId="0" borderId="0" xfId="0" applyNumberFormat="1" applyAlignment="1">
      <alignment horizontal="right" vertical="center" wrapText="1"/>
    </xf>
    <xf numFmtId="167" fontId="0" fillId="21" borderId="16" xfId="0" applyNumberFormat="1" applyFill="1" applyBorder="1" applyAlignment="1">
      <alignment/>
    </xf>
    <xf numFmtId="167" fontId="0" fillId="0" borderId="0" xfId="0" applyNumberFormat="1" applyAlignment="1">
      <alignment horizontal="left" vertical="center" wrapText="1"/>
    </xf>
    <xf numFmtId="38" fontId="1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164" fontId="15" fillId="0" borderId="17" xfId="44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64" fontId="15" fillId="8" borderId="17" xfId="44" applyNumberFormat="1" applyFont="1" applyFill="1" applyBorder="1" applyAlignment="1">
      <alignment horizontal="center" vertical="center" wrapText="1"/>
    </xf>
    <xf numFmtId="164" fontId="15" fillId="8" borderId="18" xfId="44" applyNumberFormat="1" applyFont="1" applyFill="1" applyBorder="1" applyAlignment="1">
      <alignment horizontal="center" vertical="center" wrapText="1"/>
    </xf>
    <xf numFmtId="0" fontId="0" fillId="8" borderId="19" xfId="0" applyFill="1" applyBorder="1" applyAlignment="1">
      <alignment/>
    </xf>
    <xf numFmtId="0" fontId="0" fillId="8" borderId="11" xfId="0" applyFill="1" applyBorder="1" applyAlignment="1">
      <alignment/>
    </xf>
    <xf numFmtId="164" fontId="0" fillId="0" borderId="20" xfId="44" applyNumberFormat="1" applyFont="1" applyBorder="1" applyAlignment="1">
      <alignment horizontal="left" vertical="center" wrapText="1"/>
    </xf>
    <xf numFmtId="40" fontId="15" fillId="0" borderId="21" xfId="0" applyNumberFormat="1" applyFont="1" applyBorder="1" applyAlignment="1">
      <alignment horizontal="right" vertical="center" wrapText="1"/>
    </xf>
    <xf numFmtId="40" fontId="15" fillId="0" borderId="22" xfId="0" applyNumberFormat="1" applyFont="1" applyBorder="1" applyAlignment="1">
      <alignment horizontal="right" vertical="center" wrapText="1"/>
    </xf>
    <xf numFmtId="0" fontId="0" fillId="20" borderId="0" xfId="0" applyFill="1" applyAlignment="1">
      <alignment/>
    </xf>
    <xf numFmtId="167" fontId="0" fillId="20" borderId="0" xfId="0" applyNumberFormat="1" applyFill="1" applyAlignment="1">
      <alignment/>
    </xf>
    <xf numFmtId="167" fontId="0" fillId="2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 wrapText="1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164" fontId="15" fillId="8" borderId="24" xfId="44" applyNumberFormat="1" applyFont="1" applyFill="1" applyBorder="1" applyAlignment="1">
      <alignment horizontal="center" vertical="center" wrapText="1"/>
    </xf>
    <xf numFmtId="164" fontId="0" fillId="0" borderId="26" xfId="44" applyNumberFormat="1" applyFont="1" applyFill="1" applyBorder="1" applyAlignment="1">
      <alignment horizontal="left" vertical="center" wrapText="1"/>
    </xf>
    <xf numFmtId="38" fontId="0" fillId="0" borderId="27" xfId="44" applyNumberFormat="1" applyFont="1" applyFill="1" applyBorder="1" applyAlignment="1">
      <alignment/>
    </xf>
    <xf numFmtId="38" fontId="0" fillId="0" borderId="28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40" fontId="15" fillId="0" borderId="29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165" fontId="0" fillId="0" borderId="24" xfId="0" applyNumberFormat="1" applyBorder="1" applyAlignment="1">
      <alignment/>
    </xf>
    <xf numFmtId="164" fontId="0" fillId="0" borderId="30" xfId="0" applyNumberFormat="1" applyBorder="1" applyAlignment="1">
      <alignment horizontal="left" vertical="center" wrapText="1"/>
    </xf>
    <xf numFmtId="40" fontId="22" fillId="0" borderId="19" xfId="0" applyNumberFormat="1" applyFont="1" applyBorder="1" applyAlignment="1">
      <alignment/>
    </xf>
    <xf numFmtId="40" fontId="22" fillId="0" borderId="11" xfId="0" applyNumberFormat="1" applyFont="1" applyBorder="1" applyAlignment="1">
      <alignment/>
    </xf>
    <xf numFmtId="0" fontId="0" fillId="0" borderId="23" xfId="0" applyBorder="1" applyAlignment="1">
      <alignment/>
    </xf>
    <xf numFmtId="10" fontId="0" fillId="0" borderId="24" xfId="0" applyNumberForma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179" fontId="0" fillId="0" borderId="24" xfId="0" applyNumberForma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164" fontId="0" fillId="0" borderId="24" xfId="0" applyNumberFormat="1" applyBorder="1" applyAlignment="1">
      <alignment/>
    </xf>
    <xf numFmtId="40" fontId="20" fillId="0" borderId="24" xfId="0" applyNumberFormat="1" applyFont="1" applyBorder="1" applyAlignment="1">
      <alignment/>
    </xf>
    <xf numFmtId="40" fontId="20" fillId="0" borderId="25" xfId="0" applyNumberFormat="1" applyFont="1" applyBorder="1" applyAlignment="1">
      <alignment/>
    </xf>
    <xf numFmtId="37" fontId="0" fillId="0" borderId="24" xfId="42" applyNumberFormat="1" applyBorder="1" applyAlignment="1">
      <alignment/>
    </xf>
    <xf numFmtId="39" fontId="0" fillId="0" borderId="24" xfId="42" applyNumberFormat="1" applyBorder="1" applyAlignment="1">
      <alignment/>
    </xf>
    <xf numFmtId="37" fontId="0" fillId="0" borderId="25" xfId="42" applyNumberFormat="1" applyBorder="1" applyAlignment="1">
      <alignment/>
    </xf>
    <xf numFmtId="164" fontId="18" fillId="2" borderId="23" xfId="44" applyNumberFormat="1" applyFont="1" applyFill="1" applyBorder="1" applyAlignment="1">
      <alignment/>
    </xf>
    <xf numFmtId="164" fontId="18" fillId="2" borderId="24" xfId="44" applyNumberFormat="1" applyFont="1" applyFill="1" applyBorder="1" applyAlignment="1">
      <alignment/>
    </xf>
    <xf numFmtId="37" fontId="0" fillId="2" borderId="24" xfId="42" applyNumberFormat="1" applyFill="1" applyBorder="1" applyAlignment="1">
      <alignment/>
    </xf>
    <xf numFmtId="39" fontId="0" fillId="2" borderId="24" xfId="42" applyNumberFormat="1" applyFill="1" applyBorder="1" applyAlignment="1">
      <alignment/>
    </xf>
    <xf numFmtId="39" fontId="20" fillId="2" borderId="24" xfId="42" applyNumberFormat="1" applyFont="1" applyFill="1" applyBorder="1" applyAlignment="1">
      <alignment/>
    </xf>
    <xf numFmtId="39" fontId="20" fillId="2" borderId="25" xfId="42" applyNumberFormat="1" applyFont="1" applyFill="1" applyBorder="1" applyAlignment="1">
      <alignment/>
    </xf>
    <xf numFmtId="173" fontId="0" fillId="2" borderId="0" xfId="59" applyNumberFormat="1" applyFont="1" applyFill="1" applyBorder="1" applyAlignment="1">
      <alignment vertical="top" wrapText="1"/>
    </xf>
    <xf numFmtId="37" fontId="0" fillId="2" borderId="0" xfId="42" applyNumberFormat="1" applyFill="1" applyBorder="1" applyAlignment="1">
      <alignment/>
    </xf>
    <xf numFmtId="39" fontId="0" fillId="2" borderId="0" xfId="42" applyNumberFormat="1" applyFill="1" applyBorder="1" applyAlignment="1">
      <alignment/>
    </xf>
    <xf numFmtId="39" fontId="20" fillId="2" borderId="0" xfId="42" applyNumberFormat="1" applyFont="1" applyFill="1" applyBorder="1" applyAlignment="1">
      <alignment/>
    </xf>
    <xf numFmtId="39" fontId="20" fillId="2" borderId="31" xfId="42" applyNumberFormat="1" applyFont="1" applyFill="1" applyBorder="1" applyAlignment="1">
      <alignment/>
    </xf>
    <xf numFmtId="164" fontId="0" fillId="2" borderId="32" xfId="44" applyNumberFormat="1" applyFont="1" applyFill="1" applyBorder="1" applyAlignment="1">
      <alignment/>
    </xf>
    <xf numFmtId="173" fontId="0" fillId="2" borderId="24" xfId="59" applyNumberFormat="1" applyFont="1" applyFill="1" applyBorder="1" applyAlignment="1">
      <alignment vertical="top" wrapText="1"/>
    </xf>
    <xf numFmtId="37" fontId="0" fillId="2" borderId="25" xfId="42" applyNumberFormat="1" applyFill="1" applyBorder="1" applyAlignment="1">
      <alignment/>
    </xf>
    <xf numFmtId="179" fontId="20" fillId="0" borderId="24" xfId="0" applyNumberFormat="1" applyFont="1" applyBorder="1" applyAlignment="1">
      <alignment/>
    </xf>
    <xf numFmtId="179" fontId="20" fillId="0" borderId="25" xfId="0" applyNumberFormat="1" applyFont="1" applyBorder="1" applyAlignment="1">
      <alignment/>
    </xf>
    <xf numFmtId="164" fontId="0" fillId="2" borderId="33" xfId="44" applyNumberFormat="1" applyFont="1" applyFill="1" applyBorder="1" applyAlignment="1">
      <alignment/>
    </xf>
    <xf numFmtId="0" fontId="0" fillId="0" borderId="0" xfId="0" applyFont="1" applyAlignment="1">
      <alignment/>
    </xf>
    <xf numFmtId="180" fontId="27" fillId="24" borderId="0" xfId="0" applyNumberFormat="1" applyFont="1" applyFill="1" applyBorder="1" applyAlignment="1">
      <alignment horizontal="center"/>
    </xf>
    <xf numFmtId="173" fontId="27" fillId="24" borderId="0" xfId="0" applyNumberFormat="1" applyFont="1" applyFill="1" applyBorder="1" applyAlignment="1">
      <alignment horizontal="center"/>
    </xf>
    <xf numFmtId="180" fontId="27" fillId="24" borderId="0" xfId="0" applyNumberFormat="1" applyFont="1" applyFill="1" applyBorder="1" applyAlignment="1">
      <alignment horizontal="right"/>
    </xf>
    <xf numFmtId="180" fontId="28" fillId="24" borderId="34" xfId="0" applyNumberFormat="1" applyFont="1" applyFill="1" applyBorder="1" applyAlignment="1">
      <alignment horizontal="left"/>
    </xf>
    <xf numFmtId="180" fontId="26" fillId="24" borderId="34" xfId="0" applyNumberFormat="1" applyFont="1" applyFill="1" applyBorder="1" applyAlignment="1">
      <alignment horizontal="center"/>
    </xf>
    <xf numFmtId="180" fontId="26" fillId="24" borderId="35" xfId="0" applyNumberFormat="1" applyFont="1" applyFill="1" applyBorder="1" applyAlignment="1">
      <alignment horizontal="center"/>
    </xf>
    <xf numFmtId="180" fontId="26" fillId="24" borderId="36" xfId="0" applyNumberFormat="1" applyFont="1" applyFill="1" applyBorder="1" applyAlignment="1">
      <alignment horizontal="center"/>
    </xf>
    <xf numFmtId="180" fontId="29" fillId="24" borderId="32" xfId="0" applyNumberFormat="1" applyFont="1" applyFill="1" applyBorder="1" applyAlignment="1">
      <alignment horizontal="right"/>
    </xf>
    <xf numFmtId="180" fontId="27" fillId="24" borderId="31" xfId="0" applyNumberFormat="1" applyFont="1" applyFill="1" applyBorder="1" applyAlignment="1">
      <alignment horizontal="right"/>
    </xf>
    <xf numFmtId="180" fontId="26" fillId="24" borderId="37" xfId="0" applyNumberFormat="1" applyFont="1" applyFill="1" applyBorder="1" applyAlignment="1">
      <alignment horizontal="right"/>
    </xf>
    <xf numFmtId="173" fontId="27" fillId="24" borderId="38" xfId="0" applyNumberFormat="1" applyFont="1" applyFill="1" applyBorder="1" applyAlignment="1">
      <alignment horizontal="right"/>
    </xf>
    <xf numFmtId="180" fontId="29" fillId="24" borderId="39" xfId="0" applyNumberFormat="1" applyFont="1" applyFill="1" applyBorder="1" applyAlignment="1">
      <alignment horizontal="right"/>
    </xf>
    <xf numFmtId="173" fontId="27" fillId="24" borderId="40" xfId="0" applyNumberFormat="1" applyFont="1" applyFill="1" applyBorder="1" applyAlignment="1">
      <alignment horizontal="center"/>
    </xf>
    <xf numFmtId="180" fontId="27" fillId="24" borderId="40" xfId="0" applyNumberFormat="1" applyFont="1" applyFill="1" applyBorder="1" applyAlignment="1">
      <alignment horizontal="right"/>
    </xf>
    <xf numFmtId="180" fontId="27" fillId="24" borderId="41" xfId="0" applyNumberFormat="1" applyFont="1" applyFill="1" applyBorder="1" applyAlignment="1">
      <alignment horizontal="right"/>
    </xf>
    <xf numFmtId="180" fontId="27" fillId="24" borderId="38" xfId="0" applyNumberFormat="1" applyFont="1" applyFill="1" applyBorder="1" applyAlignment="1">
      <alignment horizontal="right"/>
    </xf>
    <xf numFmtId="180" fontId="27" fillId="24" borderId="42" xfId="0" applyNumberFormat="1" applyFont="1" applyFill="1" applyBorder="1" applyAlignment="1">
      <alignment horizontal="right"/>
    </xf>
    <xf numFmtId="164" fontId="21" fillId="2" borderId="23" xfId="44" applyNumberFormat="1" applyFont="1" applyFill="1" applyBorder="1" applyAlignment="1">
      <alignment horizontal="right"/>
    </xf>
    <xf numFmtId="40" fontId="15" fillId="0" borderId="17" xfId="0" applyNumberFormat="1" applyFont="1" applyBorder="1" applyAlignment="1">
      <alignment horizontal="right" vertical="center" wrapText="1"/>
    </xf>
    <xf numFmtId="187" fontId="0" fillId="0" borderId="0" xfId="0" applyNumberFormat="1" applyAlignment="1">
      <alignment/>
    </xf>
    <xf numFmtId="0" fontId="23" fillId="0" borderId="43" xfId="53" applyBorder="1" applyAlignment="1">
      <alignment horizontal="left" vertical="center" wrapText="1"/>
    </xf>
    <xf numFmtId="0" fontId="30" fillId="8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 vertical="center" wrapText="1"/>
    </xf>
    <xf numFmtId="40" fontId="15" fillId="0" borderId="0" xfId="0" applyNumberFormat="1" applyFont="1" applyBorder="1" applyAlignment="1">
      <alignment horizontal="right" vertical="center" wrapText="1"/>
    </xf>
    <xf numFmtId="40" fontId="22" fillId="0" borderId="0" xfId="0" applyNumberFormat="1" applyFont="1" applyBorder="1" applyAlignment="1">
      <alignment/>
    </xf>
    <xf numFmtId="0" fontId="23" fillId="0" borderId="21" xfId="53" applyFont="1" applyBorder="1" applyAlignment="1">
      <alignment horizontal="left" vertical="center" wrapText="1"/>
    </xf>
    <xf numFmtId="0" fontId="23" fillId="0" borderId="22" xfId="53" applyFont="1" applyBorder="1" applyAlignment="1">
      <alignment horizontal="left" vertical="center" wrapText="1"/>
    </xf>
    <xf numFmtId="0" fontId="23" fillId="0" borderId="29" xfId="53" applyFont="1" applyBorder="1" applyAlignment="1">
      <alignment horizontal="left" vertical="center" wrapText="1"/>
    </xf>
    <xf numFmtId="164" fontId="15" fillId="5" borderId="17" xfId="44" applyNumberFormat="1" applyFont="1" applyFill="1" applyBorder="1" applyAlignment="1">
      <alignment horizontal="center" vertical="center" wrapText="1"/>
    </xf>
    <xf numFmtId="164" fontId="15" fillId="5" borderId="18" xfId="44" applyNumberFormat="1" applyFont="1" applyFill="1" applyBorder="1" applyAlignment="1">
      <alignment horizontal="center" vertical="center" wrapText="1"/>
    </xf>
    <xf numFmtId="164" fontId="15" fillId="5" borderId="24" xfId="44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0" fontId="0" fillId="5" borderId="11" xfId="0" applyFill="1" applyBorder="1" applyAlignment="1">
      <alignment/>
    </xf>
    <xf numFmtId="164" fontId="15" fillId="25" borderId="17" xfId="44" applyNumberFormat="1" applyFont="1" applyFill="1" applyBorder="1" applyAlignment="1">
      <alignment horizontal="center" vertical="center" wrapText="1"/>
    </xf>
    <xf numFmtId="164" fontId="15" fillId="25" borderId="18" xfId="44" applyNumberFormat="1" applyFont="1" applyFill="1" applyBorder="1" applyAlignment="1">
      <alignment horizontal="center" vertical="center" wrapText="1"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0" fontId="23" fillId="0" borderId="32" xfId="53" applyBorder="1" applyAlignment="1">
      <alignment/>
    </xf>
    <xf numFmtId="0" fontId="23" fillId="0" borderId="44" xfId="53" applyBorder="1" applyAlignment="1">
      <alignment/>
    </xf>
    <xf numFmtId="189" fontId="15" fillId="0" borderId="0" xfId="0" applyNumberFormat="1" applyFont="1" applyBorder="1" applyAlignment="1">
      <alignment horizontal="right" vertical="center" wrapText="1"/>
    </xf>
    <xf numFmtId="164" fontId="15" fillId="25" borderId="45" xfId="44" applyNumberFormat="1" applyFont="1" applyFill="1" applyBorder="1" applyAlignment="1">
      <alignment horizontal="center" vertical="center" wrapText="1"/>
    </xf>
    <xf numFmtId="40" fontId="15" fillId="0" borderId="45" xfId="0" applyNumberFormat="1" applyFont="1" applyBorder="1" applyAlignment="1">
      <alignment horizontal="right" vertical="center" wrapText="1"/>
    </xf>
    <xf numFmtId="164" fontId="15" fillId="25" borderId="25" xfId="44" applyNumberFormat="1" applyFont="1" applyFill="1" applyBorder="1" applyAlignment="1">
      <alignment horizontal="center" vertical="center" wrapText="1"/>
    </xf>
    <xf numFmtId="164" fontId="0" fillId="0" borderId="46" xfId="44" applyNumberFormat="1" applyFont="1" applyBorder="1" applyAlignment="1">
      <alignment horizontal="left" vertical="center" wrapText="1"/>
    </xf>
    <xf numFmtId="164" fontId="0" fillId="0" borderId="47" xfId="0" applyNumberFormat="1" applyBorder="1" applyAlignment="1">
      <alignment horizontal="left" vertical="center" wrapText="1"/>
    </xf>
    <xf numFmtId="191" fontId="15" fillId="0" borderId="0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3" xfId="0" applyBorder="1" applyAlignment="1">
      <alignment horizontal="left" vertical="center" wrapText="1"/>
    </xf>
    <xf numFmtId="164" fontId="0" fillId="0" borderId="24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38" fontId="0" fillId="0" borderId="48" xfId="0" applyNumberFormat="1" applyBorder="1" applyAlignment="1">
      <alignment horizontal="right" vertical="center" wrapText="1"/>
    </xf>
    <xf numFmtId="0" fontId="0" fillId="25" borderId="25" xfId="0" applyFill="1" applyBorder="1" applyAlignment="1">
      <alignment horizontal="left" vertical="center" wrapText="1"/>
    </xf>
    <xf numFmtId="0" fontId="15" fillId="20" borderId="10" xfId="0" applyFont="1" applyFill="1" applyBorder="1" applyAlignment="1">
      <alignment horizontal="center" vertical="center" wrapText="1"/>
    </xf>
    <xf numFmtId="164" fontId="0" fillId="0" borderId="49" xfId="44" applyNumberFormat="1" applyFont="1" applyBorder="1" applyAlignment="1">
      <alignment horizontal="left" vertical="center" wrapText="1"/>
    </xf>
    <xf numFmtId="0" fontId="23" fillId="0" borderId="50" xfId="53" applyFont="1" applyBorder="1" applyAlignment="1">
      <alignment horizontal="left" vertical="center" wrapText="1"/>
    </xf>
    <xf numFmtId="164" fontId="0" fillId="0" borderId="51" xfId="44" applyNumberFormat="1" applyFont="1" applyBorder="1" applyAlignment="1">
      <alignment horizontal="left" vertical="center" wrapText="1"/>
    </xf>
    <xf numFmtId="0" fontId="23" fillId="0" borderId="52" xfId="53" applyBorder="1" applyAlignment="1">
      <alignment horizontal="left" vertical="center" wrapText="1"/>
    </xf>
    <xf numFmtId="39" fontId="33" fillId="0" borderId="24" xfId="42" applyNumberFormat="1" applyFont="1" applyBorder="1" applyAlignment="1">
      <alignment/>
    </xf>
    <xf numFmtId="39" fontId="33" fillId="0" borderId="25" xfId="42" applyNumberFormat="1" applyFont="1" applyBorder="1" applyAlignment="1">
      <alignment/>
    </xf>
    <xf numFmtId="179" fontId="0" fillId="0" borderId="0" xfId="0" applyNumberFormat="1" applyAlignment="1">
      <alignment horizontal="left" vertical="center" wrapText="1"/>
    </xf>
    <xf numFmtId="0" fontId="0" fillId="8" borderId="32" xfId="0" applyFill="1" applyBorder="1" applyAlignment="1">
      <alignment horizontal="left" vertical="center" wrapText="1"/>
    </xf>
    <xf numFmtId="0" fontId="0" fillId="8" borderId="31" xfId="0" applyFill="1" applyBorder="1" applyAlignment="1">
      <alignment horizontal="left" vertical="center" wrapText="1"/>
    </xf>
    <xf numFmtId="0" fontId="0" fillId="8" borderId="25" xfId="0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0" fontId="31" fillId="0" borderId="53" xfId="0" applyNumberFormat="1" applyFont="1" applyFill="1" applyBorder="1" applyAlignment="1">
      <alignment/>
    </xf>
    <xf numFmtId="40" fontId="31" fillId="0" borderId="54" xfId="0" applyNumberFormat="1" applyFont="1" applyFill="1" applyBorder="1" applyAlignment="1">
      <alignment/>
    </xf>
    <xf numFmtId="40" fontId="31" fillId="0" borderId="12" xfId="0" applyNumberFormat="1" applyFont="1" applyFill="1" applyBorder="1" applyAlignment="1">
      <alignment/>
    </xf>
    <xf numFmtId="40" fontId="31" fillId="0" borderId="13" xfId="0" applyNumberFormat="1" applyFont="1" applyFill="1" applyBorder="1" applyAlignment="1">
      <alignment/>
    </xf>
    <xf numFmtId="40" fontId="31" fillId="0" borderId="55" xfId="0" applyNumberFormat="1" applyFont="1" applyFill="1" applyBorder="1" applyAlignment="1">
      <alignment/>
    </xf>
    <xf numFmtId="40" fontId="31" fillId="0" borderId="56" xfId="0" applyNumberFormat="1" applyFont="1" applyFill="1" applyBorder="1" applyAlignment="1">
      <alignment/>
    </xf>
    <xf numFmtId="40" fontId="31" fillId="0" borderId="12" xfId="0" applyNumberFormat="1" applyFont="1" applyBorder="1" applyAlignment="1">
      <alignment/>
    </xf>
    <xf numFmtId="40" fontId="31" fillId="0" borderId="13" xfId="0" applyNumberFormat="1" applyFont="1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25" borderId="57" xfId="0" applyFill="1" applyBorder="1" applyAlignment="1">
      <alignment horizontal="left" vertical="center" wrapText="1"/>
    </xf>
    <xf numFmtId="0" fontId="0" fillId="25" borderId="58" xfId="0" applyFill="1" applyBorder="1" applyAlignment="1">
      <alignment horizontal="left" vertical="center" wrapText="1"/>
    </xf>
    <xf numFmtId="164" fontId="15" fillId="8" borderId="23" xfId="44" applyNumberFormat="1" applyFont="1" applyFill="1" applyBorder="1" applyAlignment="1">
      <alignment horizontal="center" vertical="center" wrapText="1"/>
    </xf>
    <xf numFmtId="0" fontId="15" fillId="20" borderId="59" xfId="0" applyFont="1" applyFill="1" applyBorder="1" applyAlignment="1">
      <alignment horizontal="center" vertical="center" wrapText="1"/>
    </xf>
    <xf numFmtId="0" fontId="15" fillId="20" borderId="60" xfId="0" applyFont="1" applyFill="1" applyBorder="1" applyAlignment="1">
      <alignment horizontal="center" vertical="center" wrapText="1"/>
    </xf>
    <xf numFmtId="0" fontId="15" fillId="20" borderId="61" xfId="0" applyFont="1" applyFill="1" applyBorder="1" applyAlignment="1">
      <alignment horizontal="center" vertical="center" wrapText="1"/>
    </xf>
    <xf numFmtId="164" fontId="0" fillId="0" borderId="62" xfId="44" applyNumberFormat="1" applyFont="1" applyBorder="1" applyAlignment="1">
      <alignment horizontal="left" vertical="center" wrapText="1"/>
    </xf>
    <xf numFmtId="165" fontId="0" fillId="0" borderId="63" xfId="59" applyNumberFormat="1" applyFont="1" applyBorder="1" applyAlignment="1">
      <alignment horizontal="right" vertical="center"/>
    </xf>
    <xf numFmtId="164" fontId="0" fillId="0" borderId="63" xfId="44" applyNumberFormat="1" applyFont="1" applyFill="1" applyBorder="1" applyAlignment="1">
      <alignment horizontal="left" vertical="center" wrapText="1"/>
    </xf>
    <xf numFmtId="38" fontId="0" fillId="0" borderId="63" xfId="44" applyNumberFormat="1" applyFont="1" applyFill="1" applyBorder="1" applyAlignment="1">
      <alignment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164" fontId="15" fillId="25" borderId="23" xfId="44" applyNumberFormat="1" applyFont="1" applyFill="1" applyBorder="1" applyAlignment="1">
      <alignment horizontal="center" vertical="center" wrapText="1"/>
    </xf>
    <xf numFmtId="0" fontId="15" fillId="20" borderId="64" xfId="0" applyFont="1" applyFill="1" applyBorder="1" applyAlignment="1">
      <alignment horizontal="center" vertical="center" wrapText="1"/>
    </xf>
    <xf numFmtId="164" fontId="0" fillId="0" borderId="65" xfId="44" applyNumberFormat="1" applyFont="1" applyBorder="1" applyAlignment="1">
      <alignment horizontal="left" vertical="center" wrapText="1"/>
    </xf>
    <xf numFmtId="0" fontId="15" fillId="25" borderId="23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15" fillId="25" borderId="25" xfId="0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0" fontId="0" fillId="0" borderId="0" xfId="0" applyNumberFormat="1" applyFill="1" applyBorder="1" applyAlignment="1">
      <alignment horizontal="right" vertical="center" wrapText="1"/>
    </xf>
    <xf numFmtId="40" fontId="15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8" borderId="10" xfId="0" applyFont="1" applyFill="1" applyBorder="1" applyAlignment="1">
      <alignment vertical="center" wrapText="1"/>
    </xf>
    <xf numFmtId="0" fontId="35" fillId="8" borderId="10" xfId="0" applyFont="1" applyFill="1" applyBorder="1" applyAlignment="1">
      <alignment horizontal="left" vertical="center"/>
    </xf>
    <xf numFmtId="179" fontId="15" fillId="0" borderId="11" xfId="0" applyNumberFormat="1" applyFont="1" applyBorder="1" applyAlignment="1">
      <alignment horizontal="right" vertical="center" wrapText="1"/>
    </xf>
    <xf numFmtId="164" fontId="0" fillId="0" borderId="54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170" fontId="35" fillId="0" borderId="0" xfId="59" applyNumberFormat="1" applyFont="1" applyFill="1" applyBorder="1" applyAlignment="1">
      <alignment vertical="center" wrapText="1"/>
    </xf>
    <xf numFmtId="197" fontId="32" fillId="0" borderId="10" xfId="0" applyNumberFormat="1" applyFont="1" applyBorder="1" applyAlignment="1">
      <alignment horizontal="left" vertical="center" wrapText="1"/>
    </xf>
    <xf numFmtId="170" fontId="0" fillId="0" borderId="25" xfId="0" applyNumberFormat="1" applyBorder="1" applyAlignment="1">
      <alignment horizontal="left" vertical="center" wrapText="1"/>
    </xf>
    <xf numFmtId="0" fontId="0" fillId="8" borderId="57" xfId="0" applyFill="1" applyBorder="1" applyAlignment="1">
      <alignment horizontal="left" vertical="center" wrapText="1"/>
    </xf>
    <xf numFmtId="0" fontId="0" fillId="8" borderId="58" xfId="0" applyFill="1" applyBorder="1" applyAlignment="1">
      <alignment horizontal="left" vertical="center" wrapText="1"/>
    </xf>
    <xf numFmtId="173" fontId="15" fillId="0" borderId="66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179" fontId="0" fillId="0" borderId="15" xfId="0" applyNumberFormat="1" applyBorder="1" applyAlignment="1">
      <alignment horizontal="left" vertical="center" wrapText="1"/>
    </xf>
    <xf numFmtId="0" fontId="0" fillId="0" borderId="22" xfId="0" applyBorder="1" applyAlignment="1">
      <alignment/>
    </xf>
    <xf numFmtId="179" fontId="0" fillId="0" borderId="67" xfId="0" applyNumberFormat="1" applyBorder="1" applyAlignment="1">
      <alignment horizontal="left" vertical="center" wrapText="1"/>
    </xf>
    <xf numFmtId="0" fontId="0" fillId="8" borderId="57" xfId="0" applyFont="1" applyFill="1" applyBorder="1" applyAlignment="1">
      <alignment/>
    </xf>
    <xf numFmtId="0" fontId="0" fillId="8" borderId="68" xfId="0" applyFill="1" applyBorder="1" applyAlignment="1">
      <alignment wrapText="1"/>
    </xf>
    <xf numFmtId="0" fontId="0" fillId="0" borderId="52" xfId="0" applyBorder="1" applyAlignment="1">
      <alignment/>
    </xf>
    <xf numFmtId="179" fontId="0" fillId="0" borderId="54" xfId="0" applyNumberForma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164" fontId="15" fillId="0" borderId="69" xfId="0" applyNumberFormat="1" applyFont="1" applyBorder="1" applyAlignment="1">
      <alignment horizontal="left" vertical="center" wrapText="1"/>
    </xf>
    <xf numFmtId="164" fontId="15" fillId="0" borderId="45" xfId="0" applyNumberFormat="1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166" fontId="15" fillId="0" borderId="70" xfId="0" applyNumberFormat="1" applyFont="1" applyBorder="1" applyAlignment="1">
      <alignment horizontal="right" vertical="center" wrapText="1"/>
    </xf>
    <xf numFmtId="179" fontId="15" fillId="0" borderId="71" xfId="0" applyNumberFormat="1" applyFont="1" applyBorder="1" applyAlignment="1">
      <alignment horizontal="left" vertical="center" wrapText="1"/>
    </xf>
    <xf numFmtId="164" fontId="15" fillId="20" borderId="72" xfId="44" applyNumberFormat="1" applyFont="1" applyFill="1" applyBorder="1" applyAlignment="1">
      <alignment horizontal="center" vertical="center" wrapText="1"/>
    </xf>
    <xf numFmtId="0" fontId="15" fillId="20" borderId="72" xfId="0" applyFont="1" applyFill="1" applyBorder="1" applyAlignment="1">
      <alignment horizontal="center" vertical="center" wrapText="1"/>
    </xf>
    <xf numFmtId="0" fontId="15" fillId="25" borderId="25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0" fillId="8" borderId="66" xfId="0" applyFont="1" applyFill="1" applyBorder="1" applyAlignment="1">
      <alignment/>
    </xf>
    <xf numFmtId="0" fontId="0" fillId="8" borderId="70" xfId="0" applyFill="1" applyBorder="1" applyAlignment="1">
      <alignment wrapText="1"/>
    </xf>
    <xf numFmtId="0" fontId="0" fillId="8" borderId="71" xfId="0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Fill="1" applyBorder="1" applyAlignment="1">
      <alignment horizontal="left" vertical="top" wrapText="1"/>
    </xf>
    <xf numFmtId="179" fontId="0" fillId="0" borderId="75" xfId="0" applyNumberFormat="1" applyBorder="1" applyAlignment="1">
      <alignment/>
    </xf>
    <xf numFmtId="43" fontId="20" fillId="0" borderId="24" xfId="0" applyNumberFormat="1" applyFont="1" applyBorder="1" applyAlignment="1">
      <alignment/>
    </xf>
    <xf numFmtId="43" fontId="20" fillId="0" borderId="25" xfId="0" applyNumberFormat="1" applyFont="1" applyBorder="1" applyAlignment="1">
      <alignment/>
    </xf>
    <xf numFmtId="165" fontId="0" fillId="0" borderId="30" xfId="59" applyNumberFormat="1" applyFont="1" applyBorder="1" applyAlignment="1">
      <alignment/>
    </xf>
    <xf numFmtId="179" fontId="0" fillId="0" borderId="76" xfId="0" applyNumberFormat="1" applyBorder="1" applyAlignment="1">
      <alignment horizontal="left" vertical="center" wrapText="1"/>
    </xf>
    <xf numFmtId="166" fontId="15" fillId="0" borderId="17" xfId="0" applyNumberFormat="1" applyFont="1" applyBorder="1" applyAlignment="1">
      <alignment horizontal="right" vertical="center" wrapText="1"/>
    </xf>
    <xf numFmtId="179" fontId="15" fillId="0" borderId="11" xfId="0" applyNumberFormat="1" applyFont="1" applyBorder="1" applyAlignment="1">
      <alignment horizontal="left" vertical="center" wrapText="1"/>
    </xf>
    <xf numFmtId="173" fontId="15" fillId="0" borderId="70" xfId="0" applyNumberFormat="1" applyFont="1" applyBorder="1" applyAlignment="1">
      <alignment horizontal="right" vertical="center" wrapText="1"/>
    </xf>
    <xf numFmtId="0" fontId="23" fillId="0" borderId="44" xfId="53" applyFont="1" applyBorder="1" applyAlignment="1">
      <alignment/>
    </xf>
    <xf numFmtId="40" fontId="31" fillId="0" borderId="26" xfId="0" applyNumberFormat="1" applyFont="1" applyBorder="1" applyAlignment="1">
      <alignment/>
    </xf>
    <xf numFmtId="40" fontId="31" fillId="0" borderId="53" xfId="0" applyNumberFormat="1" applyFont="1" applyBorder="1" applyAlignment="1">
      <alignment/>
    </xf>
    <xf numFmtId="40" fontId="31" fillId="0" borderId="54" xfId="0" applyNumberFormat="1" applyFont="1" applyBorder="1" applyAlignment="1">
      <alignment/>
    </xf>
    <xf numFmtId="40" fontId="31" fillId="0" borderId="77" xfId="0" applyNumberFormat="1" applyFont="1" applyBorder="1" applyAlignment="1">
      <alignment/>
    </xf>
    <xf numFmtId="0" fontId="0" fillId="18" borderId="23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15" fillId="0" borderId="0" xfId="0" applyFont="1" applyAlignment="1">
      <alignment/>
    </xf>
    <xf numFmtId="0" fontId="23" fillId="0" borderId="78" xfId="53" applyFont="1" applyFill="1" applyBorder="1" applyAlignment="1">
      <alignment/>
    </xf>
    <xf numFmtId="179" fontId="29" fillId="0" borderId="48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/>
    </xf>
    <xf numFmtId="0" fontId="15" fillId="20" borderId="19" xfId="0" applyFont="1" applyFill="1" applyBorder="1" applyAlignment="1">
      <alignment horizontal="center" wrapText="1"/>
    </xf>
    <xf numFmtId="0" fontId="15" fillId="20" borderId="11" xfId="0" applyFont="1" applyFill="1" applyBorder="1" applyAlignment="1">
      <alignment horizontal="center" wrapText="1"/>
    </xf>
    <xf numFmtId="164" fontId="15" fillId="20" borderId="17" xfId="44" applyNumberFormat="1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wrapText="1"/>
    </xf>
    <xf numFmtId="0" fontId="15" fillId="20" borderId="17" xfId="0" applyFont="1" applyFill="1" applyBorder="1" applyAlignment="1">
      <alignment horizontal="center" wrapText="1"/>
    </xf>
    <xf numFmtId="0" fontId="0" fillId="20" borderId="19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15" fillId="20" borderId="11" xfId="0" applyFont="1" applyFill="1" applyBorder="1" applyAlignment="1">
      <alignment horizontal="center" wrapText="1"/>
    </xf>
    <xf numFmtId="0" fontId="15" fillId="20" borderId="45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73" fontId="30" fillId="0" borderId="29" xfId="59" applyNumberFormat="1" applyFont="1" applyBorder="1" applyAlignment="1">
      <alignment horizontal="right" vertical="center" wrapText="1"/>
    </xf>
    <xf numFmtId="173" fontId="30" fillId="0" borderId="53" xfId="59" applyNumberFormat="1" applyFont="1" applyFill="1" applyBorder="1" applyAlignment="1">
      <alignment wrapText="1"/>
    </xf>
    <xf numFmtId="173" fontId="30" fillId="0" borderId="14" xfId="59" applyNumberFormat="1" applyFont="1" applyFill="1" applyBorder="1" applyAlignment="1">
      <alignment vertical="top" wrapText="1"/>
    </xf>
    <xf numFmtId="173" fontId="30" fillId="0" borderId="79" xfId="59" applyNumberFormat="1" applyFont="1" applyFill="1" applyBorder="1" applyAlignment="1">
      <alignment vertical="top" wrapText="1"/>
    </xf>
    <xf numFmtId="173" fontId="30" fillId="0" borderId="52" xfId="59" applyNumberFormat="1" applyFont="1" applyFill="1" applyBorder="1" applyAlignment="1">
      <alignment wrapText="1"/>
    </xf>
    <xf numFmtId="173" fontId="30" fillId="0" borderId="22" xfId="59" applyNumberFormat="1" applyFont="1" applyFill="1" applyBorder="1" applyAlignment="1">
      <alignment vertical="top" wrapText="1"/>
    </xf>
    <xf numFmtId="173" fontId="30" fillId="0" borderId="50" xfId="59" applyNumberFormat="1" applyFont="1" applyFill="1" applyBorder="1" applyAlignment="1">
      <alignment vertical="top" wrapText="1"/>
    </xf>
    <xf numFmtId="173" fontId="30" fillId="0" borderId="53" xfId="59" applyNumberFormat="1" applyFont="1" applyFill="1" applyBorder="1" applyAlignment="1">
      <alignment vertical="top" wrapText="1"/>
    </xf>
    <xf numFmtId="173" fontId="30" fillId="0" borderId="79" xfId="59" applyNumberFormat="1" applyFont="1" applyFill="1" applyBorder="1" applyAlignment="1">
      <alignment vertical="top" wrapText="1"/>
    </xf>
    <xf numFmtId="173" fontId="30" fillId="0" borderId="52" xfId="59" applyNumberFormat="1" applyFont="1" applyFill="1" applyBorder="1" applyAlignment="1">
      <alignment vertical="top" wrapText="1"/>
    </xf>
    <xf numFmtId="40" fontId="36" fillId="0" borderId="12" xfId="0" applyNumberFormat="1" applyFont="1" applyBorder="1" applyAlignment="1">
      <alignment/>
    </xf>
    <xf numFmtId="40" fontId="36" fillId="0" borderId="14" xfId="0" applyNumberFormat="1" applyFont="1" applyBorder="1" applyAlignment="1">
      <alignment/>
    </xf>
    <xf numFmtId="40" fontId="36" fillId="0" borderId="27" xfId="0" applyNumberFormat="1" applyFont="1" applyBorder="1" applyAlignment="1">
      <alignment/>
    </xf>
    <xf numFmtId="40" fontId="36" fillId="0" borderId="15" xfId="0" applyNumberFormat="1" applyFont="1" applyBorder="1" applyAlignment="1">
      <alignment/>
    </xf>
    <xf numFmtId="173" fontId="0" fillId="0" borderId="53" xfId="59" applyNumberFormat="1" applyFont="1" applyFill="1" applyBorder="1" applyAlignment="1">
      <alignment wrapText="1"/>
    </xf>
    <xf numFmtId="37" fontId="0" fillId="0" borderId="53" xfId="42" applyNumberFormat="1" applyBorder="1" applyAlignment="1">
      <alignment/>
    </xf>
    <xf numFmtId="39" fontId="0" fillId="0" borderId="53" xfId="42" applyNumberFormat="1" applyBorder="1" applyAlignment="1">
      <alignment/>
    </xf>
    <xf numFmtId="39" fontId="20" fillId="0" borderId="53" xfId="42" applyNumberFormat="1" applyFont="1" applyBorder="1" applyAlignment="1">
      <alignment/>
    </xf>
    <xf numFmtId="39" fontId="20" fillId="0" borderId="54" xfId="42" applyNumberFormat="1" applyFont="1" applyBorder="1" applyAlignment="1">
      <alignment/>
    </xf>
    <xf numFmtId="173" fontId="0" fillId="0" borderId="14" xfId="59" applyNumberFormat="1" applyFont="1" applyFill="1" applyBorder="1" applyAlignment="1">
      <alignment wrapText="1"/>
    </xf>
    <xf numFmtId="37" fontId="0" fillId="0" borderId="14" xfId="42" applyNumberFormat="1" applyBorder="1" applyAlignment="1">
      <alignment/>
    </xf>
    <xf numFmtId="39" fontId="0" fillId="0" borderId="14" xfId="42" applyNumberFormat="1" applyBorder="1" applyAlignment="1">
      <alignment/>
    </xf>
    <xf numFmtId="39" fontId="20" fillId="0" borderId="14" xfId="42" applyNumberFormat="1" applyFont="1" applyBorder="1" applyAlignment="1">
      <alignment/>
    </xf>
    <xf numFmtId="39" fontId="20" fillId="0" borderId="15" xfId="42" applyNumberFormat="1" applyFont="1" applyBorder="1" applyAlignment="1">
      <alignment/>
    </xf>
    <xf numFmtId="164" fontId="18" fillId="2" borderId="22" xfId="44" applyNumberFormat="1" applyFont="1" applyFill="1" applyBorder="1" applyAlignment="1">
      <alignment/>
    </xf>
    <xf numFmtId="164" fontId="18" fillId="2" borderId="14" xfId="44" applyNumberFormat="1" applyFont="1" applyFill="1" applyBorder="1" applyAlignment="1">
      <alignment/>
    </xf>
    <xf numFmtId="37" fontId="0" fillId="2" borderId="14" xfId="42" applyNumberFormat="1" applyFill="1" applyBorder="1" applyAlignment="1">
      <alignment/>
    </xf>
    <xf numFmtId="39" fontId="0" fillId="2" borderId="14" xfId="42" applyNumberFormat="1" applyFill="1" applyBorder="1" applyAlignment="1">
      <alignment/>
    </xf>
    <xf numFmtId="39" fontId="20" fillId="2" borderId="14" xfId="42" applyNumberFormat="1" applyFont="1" applyFill="1" applyBorder="1" applyAlignment="1">
      <alignment/>
    </xf>
    <xf numFmtId="39" fontId="20" fillId="2" borderId="15" xfId="42" applyNumberFormat="1" applyFont="1" applyFill="1" applyBorder="1" applyAlignment="1">
      <alignment/>
    </xf>
    <xf numFmtId="164" fontId="20" fillId="2" borderId="22" xfId="44" applyNumberFormat="1" applyFont="1" applyFill="1" applyBorder="1" applyAlignment="1">
      <alignment/>
    </xf>
    <xf numFmtId="173" fontId="0" fillId="2" borderId="14" xfId="59" applyNumberFormat="1" applyFont="1" applyFill="1" applyBorder="1" applyAlignment="1">
      <alignment vertical="top" wrapText="1"/>
    </xf>
    <xf numFmtId="164" fontId="20" fillId="2" borderId="22" xfId="44" applyNumberFormat="1" applyFont="1" applyFill="1" applyBorder="1" applyAlignment="1">
      <alignment/>
    </xf>
    <xf numFmtId="164" fontId="21" fillId="2" borderId="22" xfId="44" applyNumberFormat="1" applyFont="1" applyFill="1" applyBorder="1" applyAlignment="1">
      <alignment horizontal="right"/>
    </xf>
    <xf numFmtId="173" fontId="15" fillId="2" borderId="14" xfId="59" applyNumberFormat="1" applyFont="1" applyFill="1" applyBorder="1" applyAlignment="1">
      <alignment vertical="top" wrapText="1"/>
    </xf>
    <xf numFmtId="37" fontId="15" fillId="2" borderId="14" xfId="42" applyNumberFormat="1" applyFont="1" applyFill="1" applyBorder="1" applyAlignment="1">
      <alignment/>
    </xf>
    <xf numFmtId="39" fontId="21" fillId="2" borderId="14" xfId="42" applyNumberFormat="1" applyFont="1" applyFill="1" applyBorder="1" applyAlignment="1">
      <alignment/>
    </xf>
    <xf numFmtId="39" fontId="21" fillId="2" borderId="15" xfId="42" applyNumberFormat="1" applyFont="1" applyFill="1" applyBorder="1" applyAlignment="1">
      <alignment/>
    </xf>
    <xf numFmtId="173" fontId="0" fillId="0" borderId="14" xfId="59" applyNumberFormat="1" applyFont="1" applyFill="1" applyBorder="1" applyAlignment="1">
      <alignment vertical="top" wrapText="1"/>
    </xf>
    <xf numFmtId="164" fontId="0" fillId="2" borderId="22" xfId="44" applyNumberFormat="1" applyFont="1" applyFill="1" applyBorder="1" applyAlignment="1">
      <alignment/>
    </xf>
    <xf numFmtId="164" fontId="0" fillId="2" borderId="22" xfId="44" applyNumberFormat="1" applyFont="1" applyFill="1" applyBorder="1" applyAlignment="1">
      <alignment/>
    </xf>
    <xf numFmtId="39" fontId="0" fillId="2" borderId="15" xfId="42" applyNumberFormat="1" applyFill="1" applyBorder="1" applyAlignment="1">
      <alignment/>
    </xf>
    <xf numFmtId="173" fontId="0" fillId="0" borderId="79" xfId="59" applyNumberFormat="1" applyFont="1" applyFill="1" applyBorder="1" applyAlignment="1">
      <alignment vertical="top" wrapText="1"/>
    </xf>
    <xf numFmtId="37" fontId="0" fillId="0" borderId="79" xfId="42" applyNumberFormat="1" applyBorder="1" applyAlignment="1">
      <alignment/>
    </xf>
    <xf numFmtId="39" fontId="0" fillId="0" borderId="79" xfId="42" applyNumberFormat="1" applyBorder="1" applyAlignment="1">
      <alignment/>
    </xf>
    <xf numFmtId="39" fontId="20" fillId="0" borderId="79" xfId="42" applyNumberFormat="1" applyFont="1" applyBorder="1" applyAlignment="1">
      <alignment/>
    </xf>
    <xf numFmtId="39" fontId="20" fillId="0" borderId="67" xfId="42" applyNumberFormat="1" applyFont="1" applyBorder="1" applyAlignment="1">
      <alignment/>
    </xf>
    <xf numFmtId="0" fontId="0" fillId="0" borderId="52" xfId="0" applyFill="1" applyBorder="1" applyAlignment="1">
      <alignment horizontal="left" wrapText="1"/>
    </xf>
    <xf numFmtId="165" fontId="0" fillId="0" borderId="53" xfId="59" applyNumberFormat="1" applyFont="1" applyBorder="1" applyAlignment="1">
      <alignment/>
    </xf>
    <xf numFmtId="179" fontId="0" fillId="0" borderId="53" xfId="0" applyNumberFormat="1" applyBorder="1" applyAlignment="1">
      <alignment/>
    </xf>
    <xf numFmtId="37" fontId="0" fillId="2" borderId="15" xfId="42" applyNumberFormat="1" applyFill="1" applyBorder="1" applyAlignment="1">
      <alignment/>
    </xf>
    <xf numFmtId="0" fontId="0" fillId="0" borderId="50" xfId="0" applyFill="1" applyBorder="1" applyAlignment="1">
      <alignment horizontal="left" vertical="top" wrapText="1"/>
    </xf>
    <xf numFmtId="165" fontId="0" fillId="0" borderId="79" xfId="59" applyNumberFormat="1" applyFont="1" applyBorder="1" applyAlignment="1">
      <alignment/>
    </xf>
    <xf numFmtId="179" fontId="0" fillId="0" borderId="79" xfId="0" applyNumberFormat="1" applyBorder="1" applyAlignment="1">
      <alignment/>
    </xf>
    <xf numFmtId="0" fontId="32" fillId="0" borderId="80" xfId="0" applyFont="1" applyBorder="1" applyAlignment="1">
      <alignment horizontal="left" vertical="center" wrapText="1"/>
    </xf>
    <xf numFmtId="0" fontId="32" fillId="0" borderId="81" xfId="0" applyFont="1" applyBorder="1" applyAlignment="1">
      <alignment horizontal="left" vertical="center" wrapText="1"/>
    </xf>
    <xf numFmtId="0" fontId="32" fillId="0" borderId="82" xfId="0" applyFont="1" applyBorder="1" applyAlignment="1">
      <alignment horizontal="left" vertical="center" wrapText="1"/>
    </xf>
    <xf numFmtId="37" fontId="15" fillId="2" borderId="15" xfId="42" applyNumberFormat="1" applyFont="1" applyFill="1" applyBorder="1" applyAlignment="1">
      <alignment/>
    </xf>
    <xf numFmtId="170" fontId="18" fillId="0" borderId="0" xfId="59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99" fontId="0" fillId="0" borderId="0" xfId="0" applyNumberFormat="1" applyAlignment="1">
      <alignment/>
    </xf>
    <xf numFmtId="173" fontId="0" fillId="0" borderId="0" xfId="59" applyNumberFormat="1" applyAlignment="1">
      <alignment/>
    </xf>
    <xf numFmtId="165" fontId="15" fillId="0" borderId="19" xfId="0" applyNumberFormat="1" applyFont="1" applyBorder="1" applyAlignment="1">
      <alignment horizontal="left" vertical="center" wrapText="1"/>
    </xf>
    <xf numFmtId="164" fontId="15" fillId="0" borderId="19" xfId="0" applyNumberFormat="1" applyFont="1" applyBorder="1" applyAlignment="1">
      <alignment horizontal="left" vertical="center" wrapText="1"/>
    </xf>
    <xf numFmtId="38" fontId="15" fillId="0" borderId="19" xfId="44" applyNumberFormat="1" applyFont="1" applyFill="1" applyBorder="1" applyAlignment="1">
      <alignment/>
    </xf>
    <xf numFmtId="38" fontId="15" fillId="0" borderId="11" xfId="0" applyNumberFormat="1" applyFont="1" applyBorder="1" applyAlignment="1">
      <alignment horizontal="right" vertical="center" wrapText="1"/>
    </xf>
    <xf numFmtId="164" fontId="15" fillId="0" borderId="24" xfId="0" applyNumberFormat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38" fontId="15" fillId="0" borderId="24" xfId="0" applyNumberFormat="1" applyFont="1" applyBorder="1" applyAlignment="1">
      <alignment horizontal="right" vertical="center" wrapText="1"/>
    </xf>
    <xf numFmtId="38" fontId="15" fillId="0" borderId="25" xfId="0" applyNumberFormat="1" applyFont="1" applyBorder="1" applyAlignment="1">
      <alignment horizontal="right" vertical="center" wrapText="1"/>
    </xf>
    <xf numFmtId="170" fontId="15" fillId="0" borderId="11" xfId="0" applyNumberFormat="1" applyFont="1" applyBorder="1" applyAlignment="1">
      <alignment horizontal="left" vertical="center" wrapText="1"/>
    </xf>
    <xf numFmtId="164" fontId="0" fillId="0" borderId="28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4" fontId="15" fillId="0" borderId="11" xfId="0" applyNumberFormat="1" applyFont="1" applyBorder="1" applyAlignment="1">
      <alignment horizontal="left" vertical="center" wrapText="1"/>
    </xf>
    <xf numFmtId="196" fontId="32" fillId="0" borderId="44" xfId="0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 horizontal="right" vertical="center" wrapText="1"/>
    </xf>
    <xf numFmtId="0" fontId="32" fillId="0" borderId="44" xfId="0" applyFont="1" applyBorder="1" applyAlignment="1">
      <alignment horizontal="right" vertical="center" wrapText="1"/>
    </xf>
    <xf numFmtId="165" fontId="15" fillId="0" borderId="11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172" fontId="0" fillId="0" borderId="0" xfId="59" applyNumberFormat="1" applyAlignment="1">
      <alignment horizontal="left" vertical="center" wrapText="1"/>
    </xf>
    <xf numFmtId="186" fontId="0" fillId="0" borderId="0" xfId="0" applyNumberFormat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23" fillId="0" borderId="0" xfId="53" applyAlignment="1" applyProtection="1">
      <alignment/>
      <protection/>
    </xf>
    <xf numFmtId="0" fontId="23" fillId="0" borderId="0" xfId="53" applyAlignment="1">
      <alignment/>
    </xf>
    <xf numFmtId="164" fontId="39" fillId="0" borderId="0" xfId="0" applyNumberFormat="1" applyFont="1" applyFill="1" applyBorder="1" applyAlignment="1" quotePrefix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38" fontId="0" fillId="0" borderId="0" xfId="0" applyNumberFormat="1" applyAlignment="1">
      <alignment horizontal="left" vertical="center" wrapText="1"/>
    </xf>
    <xf numFmtId="206" fontId="0" fillId="0" borderId="0" xfId="0" applyNumberFormat="1" applyAlignment="1">
      <alignment horizontal="left" vertic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173" fontId="41" fillId="0" borderId="32" xfId="59" applyNumberFormat="1" applyFont="1" applyBorder="1" applyAlignment="1">
      <alignment horizontal="right" vertical="center" wrapText="1"/>
    </xf>
    <xf numFmtId="164" fontId="0" fillId="0" borderId="31" xfId="0" applyNumberFormat="1" applyBorder="1" applyAlignment="1">
      <alignment horizontal="left" vertical="center" wrapText="1"/>
    </xf>
    <xf numFmtId="165" fontId="0" fillId="0" borderId="83" xfId="59" applyNumberFormat="1" applyBorder="1" applyAlignment="1">
      <alignment horizontal="right" vertical="center" wrapText="1"/>
    </xf>
    <xf numFmtId="164" fontId="0" fillId="0" borderId="75" xfId="0" applyNumberFormat="1" applyBorder="1" applyAlignment="1">
      <alignment horizontal="left" vertical="center" wrapText="1"/>
    </xf>
    <xf numFmtId="173" fontId="41" fillId="0" borderId="39" xfId="59" applyNumberFormat="1" applyFont="1" applyBorder="1" applyAlignment="1">
      <alignment horizontal="right" vertical="center" wrapText="1"/>
    </xf>
    <xf numFmtId="164" fontId="0" fillId="0" borderId="41" xfId="0" applyNumberFormat="1" applyBorder="1" applyAlignment="1">
      <alignment horizontal="left" vertical="center" wrapText="1"/>
    </xf>
    <xf numFmtId="0" fontId="0" fillId="8" borderId="23" xfId="0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center" vertical="center" wrapText="1"/>
    </xf>
    <xf numFmtId="165" fontId="0" fillId="0" borderId="84" xfId="59" applyNumberFormat="1" applyBorder="1" applyAlignment="1">
      <alignment horizontal="right" vertical="center" wrapText="1"/>
    </xf>
    <xf numFmtId="164" fontId="0" fillId="0" borderId="85" xfId="0" applyNumberFormat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173" fontId="41" fillId="0" borderId="32" xfId="59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 quotePrefix="1">
      <alignment horizontal="center" vertical="center"/>
    </xf>
    <xf numFmtId="173" fontId="30" fillId="0" borderId="66" xfId="59" applyNumberFormat="1" applyFont="1" applyFill="1" applyBorder="1" applyAlignment="1">
      <alignment vertical="top" wrapText="1"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50" xfId="0" applyFont="1" applyBorder="1" applyAlignment="1">
      <alignment/>
    </xf>
    <xf numFmtId="0" fontId="42" fillId="0" borderId="0" xfId="0" applyFont="1" applyAlignment="1">
      <alignment horizontal="left" indent="1"/>
    </xf>
    <xf numFmtId="0" fontId="43" fillId="0" borderId="0" xfId="53" applyFont="1" applyAlignment="1">
      <alignment/>
    </xf>
    <xf numFmtId="0" fontId="42" fillId="0" borderId="0" xfId="0" applyFont="1" applyAlignment="1">
      <alignment horizontal="left" indent="2"/>
    </xf>
    <xf numFmtId="165" fontId="44" fillId="0" borderId="58" xfId="59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165" fontId="0" fillId="0" borderId="83" xfId="59" applyNumberFormat="1" applyBorder="1" applyAlignment="1">
      <alignment horizontal="right" vertical="center" wrapText="1"/>
    </xf>
    <xf numFmtId="165" fontId="0" fillId="0" borderId="84" xfId="59" applyNumberForma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43" fontId="30" fillId="8" borderId="10" xfId="42" applyFont="1" applyFill="1" applyBorder="1" applyAlignment="1">
      <alignment horizontal="left" vertical="center"/>
    </xf>
    <xf numFmtId="170" fontId="35" fillId="0" borderId="10" xfId="59" applyNumberFormat="1" applyFont="1" applyFill="1" applyBorder="1" applyAlignment="1">
      <alignment vertical="center" wrapText="1"/>
    </xf>
    <xf numFmtId="164" fontId="34" fillId="0" borderId="10" xfId="44" applyNumberFormat="1" applyFont="1" applyFill="1" applyBorder="1" applyAlignment="1">
      <alignment vertical="center" wrapText="1"/>
    </xf>
    <xf numFmtId="0" fontId="15" fillId="0" borderId="23" xfId="0" applyFont="1" applyBorder="1" applyAlignment="1">
      <alignment horizontal="left" vertical="center" wrapText="1"/>
    </xf>
    <xf numFmtId="164" fontId="15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30" fillId="0" borderId="54" xfId="59" applyNumberFormat="1" applyFont="1" applyBorder="1" applyAlignment="1">
      <alignment horizontal="right" vertical="center"/>
    </xf>
    <xf numFmtId="165" fontId="30" fillId="0" borderId="48" xfId="59" applyNumberFormat="1" applyFont="1" applyBorder="1" applyAlignment="1">
      <alignment horizontal="right" vertical="center"/>
    </xf>
    <xf numFmtId="165" fontId="30" fillId="0" borderId="86" xfId="59" applyNumberFormat="1" applyFont="1" applyBorder="1" applyAlignment="1">
      <alignment horizontal="right" vertical="center"/>
    </xf>
    <xf numFmtId="165" fontId="30" fillId="0" borderId="87" xfId="59" applyNumberFormat="1" applyFont="1" applyBorder="1" applyAlignment="1">
      <alignment horizontal="right" vertical="center"/>
    </xf>
    <xf numFmtId="0" fontId="15" fillId="8" borderId="88" xfId="0" applyFont="1" applyFill="1" applyBorder="1" applyAlignment="1">
      <alignment horizontal="center" vertical="center" wrapText="1"/>
    </xf>
    <xf numFmtId="164" fontId="15" fillId="0" borderId="66" xfId="0" applyNumberFormat="1" applyFont="1" applyBorder="1" applyAlignment="1">
      <alignment horizontal="left" vertical="center" wrapText="1"/>
    </xf>
    <xf numFmtId="165" fontId="15" fillId="0" borderId="71" xfId="0" applyNumberFormat="1" applyFont="1" applyBorder="1" applyAlignment="1">
      <alignment horizontal="right" vertical="center" wrapText="1"/>
    </xf>
    <xf numFmtId="164" fontId="28" fillId="0" borderId="73" xfId="44" applyNumberFormat="1" applyFont="1" applyBorder="1" applyAlignment="1">
      <alignment horizontal="left" vertical="center" wrapText="1"/>
    </xf>
    <xf numFmtId="164" fontId="28" fillId="0" borderId="32" xfId="44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28" fillId="0" borderId="52" xfId="44" applyNumberFormat="1" applyFont="1" applyBorder="1" applyAlignment="1">
      <alignment horizontal="left" vertical="center" wrapText="1"/>
    </xf>
    <xf numFmtId="164" fontId="28" fillId="0" borderId="21" xfId="44" applyNumberFormat="1" applyFont="1" applyBorder="1" applyAlignment="1">
      <alignment horizontal="left" vertical="center" wrapText="1"/>
    </xf>
    <xf numFmtId="0" fontId="15" fillId="0" borderId="0" xfId="0" applyFont="1" applyAlignment="1" quotePrefix="1">
      <alignment horizontal="right" vertical="center"/>
    </xf>
    <xf numFmtId="173" fontId="16" fillId="0" borderId="32" xfId="59" applyNumberFormat="1" applyFont="1" applyBorder="1" applyAlignment="1">
      <alignment horizontal="center" vertical="center" wrapText="1"/>
    </xf>
    <xf numFmtId="164" fontId="45" fillId="0" borderId="83" xfId="44" applyNumberFormat="1" applyFont="1" applyBorder="1" applyAlignment="1">
      <alignment horizontal="left" vertical="center" wrapText="1"/>
    </xf>
    <xf numFmtId="165" fontId="45" fillId="0" borderId="75" xfId="59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4" fontId="32" fillId="0" borderId="58" xfId="0" applyNumberFormat="1" applyFont="1" applyBorder="1" applyAlignment="1">
      <alignment horizontal="left" vertical="center" wrapText="1"/>
    </xf>
    <xf numFmtId="0" fontId="46" fillId="0" borderId="44" xfId="53" applyFont="1" applyBorder="1" applyAlignment="1">
      <alignment horizontal="right"/>
    </xf>
    <xf numFmtId="164" fontId="47" fillId="0" borderId="89" xfId="44" applyNumberFormat="1" applyFont="1" applyBorder="1" applyAlignment="1">
      <alignment horizontal="left" vertical="center" wrapText="1"/>
    </xf>
    <xf numFmtId="0" fontId="46" fillId="0" borderId="32" xfId="53" applyFont="1" applyBorder="1" applyAlignment="1">
      <alignment horizontal="right"/>
    </xf>
    <xf numFmtId="164" fontId="47" fillId="0" borderId="57" xfId="44" applyNumberFormat="1" applyFont="1" applyBorder="1" applyAlignment="1">
      <alignment horizontal="left" vertical="center" wrapText="1"/>
    </xf>
    <xf numFmtId="165" fontId="47" fillId="0" borderId="58" xfId="59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173" fontId="29" fillId="0" borderId="32" xfId="59" applyNumberFormat="1" applyFont="1" applyBorder="1" applyAlignment="1">
      <alignment horizontal="right" vertical="center" wrapText="1"/>
    </xf>
    <xf numFmtId="43" fontId="0" fillId="0" borderId="0" xfId="0" applyNumberForma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8" borderId="10" xfId="0" applyFill="1" applyBorder="1" applyAlignment="1">
      <alignment/>
    </xf>
    <xf numFmtId="40" fontId="22" fillId="0" borderId="10" xfId="0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25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39" fontId="20" fillId="0" borderId="80" xfId="42" applyNumberFormat="1" applyFont="1" applyBorder="1" applyAlignment="1">
      <alignment/>
    </xf>
    <xf numFmtId="39" fontId="20" fillId="0" borderId="81" xfId="42" applyNumberFormat="1" applyFont="1" applyBorder="1" applyAlignment="1">
      <alignment/>
    </xf>
    <xf numFmtId="39" fontId="20" fillId="2" borderId="81" xfId="42" applyNumberFormat="1" applyFont="1" applyFill="1" applyBorder="1" applyAlignment="1">
      <alignment/>
    </xf>
    <xf numFmtId="37" fontId="0" fillId="2" borderId="81" xfId="42" applyNumberFormat="1" applyFill="1" applyBorder="1" applyAlignment="1">
      <alignment/>
    </xf>
    <xf numFmtId="39" fontId="20" fillId="0" borderId="82" xfId="42" applyNumberFormat="1" applyFont="1" applyBorder="1" applyAlignment="1">
      <alignment/>
    </xf>
    <xf numFmtId="39" fontId="20" fillId="2" borderId="10" xfId="42" applyNumberFormat="1" applyFont="1" applyFill="1" applyBorder="1" applyAlignment="1">
      <alignment/>
    </xf>
    <xf numFmtId="39" fontId="20" fillId="2" borderId="44" xfId="42" applyNumberFormat="1" applyFont="1" applyFill="1" applyBorder="1" applyAlignment="1">
      <alignment/>
    </xf>
    <xf numFmtId="180" fontId="26" fillId="24" borderId="90" xfId="0" applyNumberFormat="1" applyFont="1" applyFill="1" applyBorder="1" applyAlignment="1">
      <alignment horizontal="center"/>
    </xf>
    <xf numFmtId="180" fontId="27" fillId="24" borderId="44" xfId="0" applyNumberFormat="1" applyFont="1" applyFill="1" applyBorder="1" applyAlignment="1">
      <alignment horizontal="right"/>
    </xf>
    <xf numFmtId="180" fontId="27" fillId="24" borderId="91" xfId="0" applyNumberFormat="1" applyFont="1" applyFill="1" applyBorder="1" applyAlignment="1">
      <alignment horizontal="right"/>
    </xf>
    <xf numFmtId="180" fontId="27" fillId="24" borderId="92" xfId="0" applyNumberFormat="1" applyFont="1" applyFill="1" applyBorder="1" applyAlignment="1">
      <alignment horizontal="right"/>
    </xf>
    <xf numFmtId="37" fontId="0" fillId="2" borderId="10" xfId="42" applyNumberFormat="1" applyFill="1" applyBorder="1" applyAlignment="1">
      <alignment/>
    </xf>
    <xf numFmtId="179" fontId="20" fillId="0" borderId="10" xfId="0" applyNumberFormat="1" applyFont="1" applyBorder="1" applyAlignment="1">
      <alignment/>
    </xf>
    <xf numFmtId="0" fontId="48" fillId="0" borderId="32" xfId="53" applyFont="1" applyBorder="1" applyAlignment="1">
      <alignment horizontal="right"/>
    </xf>
    <xf numFmtId="165" fontId="5" fillId="0" borderId="12" xfId="59" applyNumberFormat="1" applyFont="1" applyBorder="1" applyAlignment="1">
      <alignment horizontal="right" vertical="center"/>
    </xf>
    <xf numFmtId="164" fontId="5" fillId="0" borderId="93" xfId="44" applyNumberFormat="1" applyFont="1" applyBorder="1" applyAlignment="1">
      <alignment horizontal="left" vertical="center" wrapText="1"/>
    </xf>
    <xf numFmtId="40" fontId="49" fillId="0" borderId="68" xfId="0" applyNumberFormat="1" applyFont="1" applyBorder="1" applyAlignment="1">
      <alignment/>
    </xf>
    <xf numFmtId="40" fontId="49" fillId="0" borderId="58" xfId="0" applyNumberFormat="1" applyFont="1" applyBorder="1" applyAlignment="1">
      <alignment/>
    </xf>
    <xf numFmtId="0" fontId="5" fillId="0" borderId="0" xfId="0" applyFont="1" applyAlignment="1">
      <alignment/>
    </xf>
    <xf numFmtId="40" fontId="49" fillId="0" borderId="44" xfId="0" applyNumberFormat="1" applyFont="1" applyBorder="1" applyAlignment="1">
      <alignment/>
    </xf>
    <xf numFmtId="40" fontId="45" fillId="0" borderId="22" xfId="0" applyNumberFormat="1" applyFont="1" applyBorder="1" applyAlignment="1">
      <alignment horizontal="right" vertical="center" wrapText="1"/>
    </xf>
    <xf numFmtId="40" fontId="45" fillId="0" borderId="66" xfId="0" applyNumberFormat="1" applyFont="1" applyBorder="1" applyAlignment="1">
      <alignment horizontal="right" vertical="center" wrapText="1"/>
    </xf>
    <xf numFmtId="40" fontId="49" fillId="0" borderId="70" xfId="0" applyNumberFormat="1" applyFont="1" applyBorder="1" applyAlignment="1">
      <alignment/>
    </xf>
    <xf numFmtId="40" fontId="49" fillId="0" borderId="71" xfId="0" applyNumberFormat="1" applyFont="1" applyBorder="1" applyAlignment="1">
      <alignment/>
    </xf>
    <xf numFmtId="0" fontId="0" fillId="25" borderId="10" xfId="0" applyFill="1" applyBorder="1" applyAlignment="1">
      <alignment horizontal="center" wrapText="1"/>
    </xf>
    <xf numFmtId="43" fontId="50" fillId="8" borderId="10" xfId="42" applyFont="1" applyFill="1" applyBorder="1" applyAlignment="1">
      <alignment horizontal="left" vertical="center"/>
    </xf>
    <xf numFmtId="40" fontId="51" fillId="0" borderId="43" xfId="0" applyNumberFormat="1" applyFont="1" applyBorder="1" applyAlignment="1">
      <alignment/>
    </xf>
    <xf numFmtId="40" fontId="51" fillId="0" borderId="81" xfId="0" applyNumberFormat="1" applyFont="1" applyBorder="1" applyAlignment="1">
      <alignment/>
    </xf>
    <xf numFmtId="40" fontId="51" fillId="0" borderId="94" xfId="0" applyNumberFormat="1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51" fillId="0" borderId="0" xfId="0" applyNumberFormat="1" applyFont="1" applyBorder="1" applyAlignment="1">
      <alignment/>
    </xf>
    <xf numFmtId="0" fontId="29" fillId="25" borderId="10" xfId="0" applyFont="1" applyFill="1" applyBorder="1" applyAlignment="1">
      <alignment/>
    </xf>
    <xf numFmtId="40" fontId="49" fillId="0" borderId="95" xfId="0" applyNumberFormat="1" applyFont="1" applyBorder="1" applyAlignment="1">
      <alignment/>
    </xf>
    <xf numFmtId="0" fontId="6" fillId="0" borderId="0" xfId="0" applyFont="1" applyAlignment="1">
      <alignment/>
    </xf>
    <xf numFmtId="40" fontId="52" fillId="0" borderId="13" xfId="0" applyNumberFormat="1" applyFont="1" applyBorder="1" applyAlignment="1">
      <alignment/>
    </xf>
    <xf numFmtId="40" fontId="52" fillId="0" borderId="15" xfId="0" applyNumberFormat="1" applyFont="1" applyBorder="1" applyAlignment="1">
      <alignment/>
    </xf>
    <xf numFmtId="40" fontId="52" fillId="0" borderId="28" xfId="0" applyNumberFormat="1" applyFont="1" applyBorder="1" applyAlignment="1">
      <alignment/>
    </xf>
    <xf numFmtId="40" fontId="52" fillId="0" borderId="0" xfId="0" applyNumberFormat="1" applyFont="1" applyBorder="1" applyAlignment="1">
      <alignment/>
    </xf>
    <xf numFmtId="0" fontId="6" fillId="20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/>
    </xf>
    <xf numFmtId="9" fontId="0" fillId="0" borderId="0" xfId="59" applyAlignment="1">
      <alignment/>
    </xf>
    <xf numFmtId="0" fontId="0" fillId="0" borderId="83" xfId="0" applyBorder="1" applyAlignment="1">
      <alignment/>
    </xf>
    <xf numFmtId="169" fontId="0" fillId="0" borderId="44" xfId="59" applyNumberFormat="1" applyBorder="1" applyAlignment="1">
      <alignment/>
    </xf>
    <xf numFmtId="169" fontId="0" fillId="0" borderId="95" xfId="59" applyNumberFormat="1" applyBorder="1" applyAlignment="1">
      <alignment/>
    </xf>
    <xf numFmtId="40" fontId="51" fillId="0" borderId="95" xfId="0" applyNumberFormat="1" applyFont="1" applyBorder="1" applyAlignment="1">
      <alignment/>
    </xf>
    <xf numFmtId="0" fontId="0" fillId="0" borderId="95" xfId="0" applyBorder="1" applyAlignment="1">
      <alignment/>
    </xf>
    <xf numFmtId="0" fontId="0" fillId="0" borderId="10" xfId="0" applyBorder="1" applyAlignment="1">
      <alignment/>
    </xf>
    <xf numFmtId="169" fontId="53" fillId="0" borderId="44" xfId="59" applyNumberFormat="1" applyFont="1" applyBorder="1" applyAlignment="1">
      <alignment/>
    </xf>
    <xf numFmtId="169" fontId="53" fillId="0" borderId="95" xfId="59" applyNumberFormat="1" applyFont="1" applyBorder="1" applyAlignment="1">
      <alignment/>
    </xf>
    <xf numFmtId="164" fontId="5" fillId="0" borderId="46" xfId="44" applyNumberFormat="1" applyFont="1" applyBorder="1" applyAlignment="1">
      <alignment horizontal="left" vertical="center" wrapText="1"/>
    </xf>
    <xf numFmtId="40" fontId="53" fillId="0" borderId="26" xfId="0" applyNumberFormat="1" applyFont="1" applyBorder="1" applyAlignment="1">
      <alignment/>
    </xf>
    <xf numFmtId="40" fontId="53" fillId="0" borderId="77" xfId="0" applyNumberFormat="1" applyFont="1" applyBorder="1" applyAlignment="1">
      <alignment/>
    </xf>
    <xf numFmtId="43" fontId="33" fillId="0" borderId="44" xfId="42" applyNumberFormat="1" applyFont="1" applyBorder="1" applyAlignment="1">
      <alignment/>
    </xf>
    <xf numFmtId="0" fontId="0" fillId="25" borderId="10" xfId="0" applyFill="1" applyBorder="1" applyAlignment="1">
      <alignment/>
    </xf>
    <xf numFmtId="169" fontId="0" fillId="0" borderId="72" xfId="59" applyNumberFormat="1" applyBorder="1" applyAlignment="1">
      <alignment/>
    </xf>
    <xf numFmtId="43" fontId="33" fillId="0" borderId="72" xfId="42" applyNumberFormat="1" applyFont="1" applyBorder="1" applyAlignment="1">
      <alignment/>
    </xf>
    <xf numFmtId="40" fontId="53" fillId="0" borderId="56" xfId="0" applyNumberFormat="1" applyFont="1" applyBorder="1" applyAlignment="1">
      <alignment/>
    </xf>
    <xf numFmtId="173" fontId="28" fillId="0" borderId="96" xfId="59" applyNumberFormat="1" applyFont="1" applyBorder="1" applyAlignment="1">
      <alignment horizontal="right" vertical="center" wrapText="1"/>
    </xf>
    <xf numFmtId="173" fontId="28" fillId="0" borderId="22" xfId="59" applyNumberFormat="1" applyFont="1" applyBorder="1" applyAlignment="1">
      <alignment horizontal="right" vertical="center" wrapText="1"/>
    </xf>
    <xf numFmtId="173" fontId="28" fillId="0" borderId="52" xfId="59" applyNumberFormat="1" applyFont="1" applyFill="1" applyBorder="1" applyAlignment="1">
      <alignment horizontal="right" vertical="center" wrapText="1"/>
    </xf>
    <xf numFmtId="173" fontId="28" fillId="0" borderId="22" xfId="59" applyNumberFormat="1" applyFont="1" applyFill="1" applyBorder="1" applyAlignment="1">
      <alignment horizontal="right" vertical="center" wrapText="1"/>
    </xf>
    <xf numFmtId="173" fontId="28" fillId="0" borderId="29" xfId="59" applyNumberFormat="1" applyFont="1" applyFill="1" applyBorder="1" applyAlignment="1">
      <alignment horizontal="right" vertical="center" wrapText="1"/>
    </xf>
    <xf numFmtId="173" fontId="5" fillId="0" borderId="57" xfId="59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173" fontId="16" fillId="0" borderId="32" xfId="59" applyNumberFormat="1" applyFont="1" applyBorder="1" applyAlignment="1">
      <alignment horizontal="left" vertical="center"/>
    </xf>
    <xf numFmtId="37" fontId="29" fillId="0" borderId="14" xfId="42" applyNumberFormat="1" applyFont="1" applyBorder="1" applyAlignment="1">
      <alignment/>
    </xf>
    <xf numFmtId="0" fontId="23" fillId="0" borderId="0" xfId="53" applyFont="1" applyAlignment="1">
      <alignment/>
    </xf>
    <xf numFmtId="173" fontId="55" fillId="0" borderId="32" xfId="59" applyNumberFormat="1" applyFont="1" applyBorder="1" applyAlignment="1">
      <alignment horizontal="left" vertical="center"/>
    </xf>
    <xf numFmtId="0" fontId="37" fillId="0" borderId="0" xfId="0" applyFont="1" applyAlignment="1">
      <alignment/>
    </xf>
    <xf numFmtId="0" fontId="56" fillId="0" borderId="0" xfId="0" applyFont="1" applyAlignment="1">
      <alignment/>
    </xf>
    <xf numFmtId="43" fontId="57" fillId="8" borderId="10" xfId="42" applyFont="1" applyFill="1" applyBorder="1" applyAlignment="1">
      <alignment horizontal="left" vertical="center"/>
    </xf>
    <xf numFmtId="173" fontId="30" fillId="0" borderId="57" xfId="59" applyNumberFormat="1" applyFont="1" applyBorder="1" applyAlignment="1">
      <alignment horizontal="right" vertical="center" wrapText="1"/>
    </xf>
    <xf numFmtId="179" fontId="29" fillId="0" borderId="58" xfId="0" applyNumberFormat="1" applyFont="1" applyBorder="1" applyAlignment="1">
      <alignment horizontal="left" vertical="center" wrapText="1"/>
    </xf>
    <xf numFmtId="165" fontId="0" fillId="0" borderId="97" xfId="59" applyNumberFormat="1" applyBorder="1" applyAlignment="1">
      <alignment horizontal="right" vertical="center" wrapText="1"/>
    </xf>
    <xf numFmtId="164" fontId="0" fillId="0" borderId="98" xfId="0" applyNumberFormat="1" applyBorder="1" applyAlignment="1">
      <alignment horizontal="left" vertical="center" wrapText="1"/>
    </xf>
    <xf numFmtId="164" fontId="30" fillId="0" borderId="99" xfId="44" applyNumberFormat="1" applyFont="1" applyBorder="1" applyAlignment="1">
      <alignment horizontal="left" vertical="center" wrapText="1"/>
    </xf>
    <xf numFmtId="0" fontId="23" fillId="0" borderId="80" xfId="53" applyBorder="1" applyAlignment="1">
      <alignment horizontal="left" vertical="center" wrapText="1"/>
    </xf>
    <xf numFmtId="0" fontId="23" fillId="0" borderId="82" xfId="53" applyBorder="1" applyAlignment="1">
      <alignment horizontal="left" vertical="center" wrapText="1"/>
    </xf>
    <xf numFmtId="165" fontId="47" fillId="0" borderId="100" xfId="59" applyNumberFormat="1" applyFont="1" applyBorder="1" applyAlignment="1">
      <alignment horizontal="right" vertical="center"/>
    </xf>
    <xf numFmtId="165" fontId="15" fillId="0" borderId="101" xfId="0" applyNumberFormat="1" applyFont="1" applyBorder="1" applyAlignment="1">
      <alignment horizontal="right" vertical="center" wrapText="1"/>
    </xf>
    <xf numFmtId="196" fontId="32" fillId="0" borderId="80" xfId="0" applyNumberFormat="1" applyFont="1" applyBorder="1" applyAlignment="1">
      <alignment horizontal="right" vertical="center" wrapText="1"/>
    </xf>
    <xf numFmtId="196" fontId="32" fillId="0" borderId="81" xfId="0" applyNumberFormat="1" applyFont="1" applyBorder="1" applyAlignment="1">
      <alignment horizontal="right" vertical="center" wrapText="1"/>
    </xf>
    <xf numFmtId="40" fontId="51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9" fillId="0" borderId="21" xfId="53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59" fillId="0" borderId="32" xfId="53" applyFont="1" applyBorder="1" applyAlignment="1">
      <alignment/>
    </xf>
    <xf numFmtId="0" fontId="60" fillId="0" borderId="32" xfId="53" applyFont="1" applyBorder="1" applyAlignment="1">
      <alignment horizontal="right"/>
    </xf>
    <xf numFmtId="0" fontId="15" fillId="0" borderId="23" xfId="0" applyFont="1" applyBorder="1" applyAlignment="1">
      <alignment horizontal="left" vertical="center" wrapText="1"/>
    </xf>
    <xf numFmtId="0" fontId="0" fillId="20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8" borderId="23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22" xfId="0" applyFont="1" applyBorder="1" applyAlignment="1">
      <alignment/>
    </xf>
    <xf numFmtId="164" fontId="15" fillId="2" borderId="22" xfId="44" applyNumberFormat="1" applyFont="1" applyFill="1" applyBorder="1" applyAlignment="1">
      <alignment/>
    </xf>
    <xf numFmtId="164" fontId="0" fillId="2" borderId="22" xfId="44" applyNumberFormat="1" applyFont="1" applyFill="1" applyBorder="1" applyAlignment="1">
      <alignment/>
    </xf>
    <xf numFmtId="164" fontId="0" fillId="2" borderId="22" xfId="44" applyNumberFormat="1" applyFont="1" applyFill="1" applyBorder="1" applyAlignment="1">
      <alignment/>
    </xf>
    <xf numFmtId="164" fontId="15" fillId="2" borderId="22" xfId="44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52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left" vertical="top" wrapText="1"/>
    </xf>
    <xf numFmtId="164" fontId="15" fillId="2" borderId="23" xfId="44" applyNumberFormat="1" applyFont="1" applyFill="1" applyBorder="1" applyAlignment="1">
      <alignment/>
    </xf>
    <xf numFmtId="164" fontId="0" fillId="2" borderId="32" xfId="44" applyNumberFormat="1" applyFont="1" applyFill="1" applyBorder="1" applyAlignment="1">
      <alignment/>
    </xf>
    <xf numFmtId="180" fontId="28" fillId="24" borderId="35" xfId="0" applyNumberFormat="1" applyFont="1" applyFill="1" applyBorder="1" applyAlignment="1">
      <alignment horizontal="center"/>
    </xf>
    <xf numFmtId="180" fontId="28" fillId="24" borderId="37" xfId="0" applyNumberFormat="1" applyFont="1" applyFill="1" applyBorder="1" applyAlignment="1">
      <alignment horizontal="right"/>
    </xf>
    <xf numFmtId="164" fontId="0" fillId="2" borderId="33" xfId="44" applyNumberFormat="1" applyFont="1" applyFill="1" applyBorder="1" applyAlignment="1">
      <alignment/>
    </xf>
    <xf numFmtId="164" fontId="15" fillId="2" borderId="23" xfId="44" applyNumberFormat="1" applyFont="1" applyFill="1" applyBorder="1" applyAlignment="1">
      <alignment horizontal="right"/>
    </xf>
    <xf numFmtId="165" fontId="0" fillId="0" borderId="12" xfId="59" applyNumberFormat="1" applyFont="1" applyBorder="1" applyAlignment="1">
      <alignment horizontal="right" vertical="center"/>
    </xf>
    <xf numFmtId="164" fontId="0" fillId="0" borderId="20" xfId="44" applyNumberFormat="1" applyFont="1" applyBorder="1" applyAlignment="1">
      <alignment horizontal="left" vertical="center" wrapText="1"/>
    </xf>
    <xf numFmtId="165" fontId="0" fillId="0" borderId="24" xfId="0" applyNumberFormat="1" applyFont="1" applyBorder="1" applyAlignment="1">
      <alignment/>
    </xf>
    <xf numFmtId="164" fontId="0" fillId="0" borderId="3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46" xfId="44" applyNumberFormat="1" applyFont="1" applyBorder="1" applyAlignment="1">
      <alignment horizontal="left" vertical="center" wrapText="1"/>
    </xf>
    <xf numFmtId="164" fontId="0" fillId="0" borderId="47" xfId="0" applyNumberFormat="1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 wrapText="1"/>
    </xf>
    <xf numFmtId="0" fontId="0" fillId="8" borderId="24" xfId="0" applyFont="1" applyFill="1" applyBorder="1" applyAlignment="1">
      <alignment wrapText="1"/>
    </xf>
    <xf numFmtId="173" fontId="0" fillId="0" borderId="53" xfId="59" applyNumberFormat="1" applyFont="1" applyFill="1" applyBorder="1" applyAlignment="1">
      <alignment wrapText="1"/>
    </xf>
    <xf numFmtId="37" fontId="0" fillId="0" borderId="53" xfId="42" applyNumberFormat="1" applyFont="1" applyBorder="1" applyAlignment="1">
      <alignment/>
    </xf>
    <xf numFmtId="173" fontId="0" fillId="0" borderId="14" xfId="59" applyNumberFormat="1" applyFont="1" applyFill="1" applyBorder="1" applyAlignment="1">
      <alignment wrapText="1"/>
    </xf>
    <xf numFmtId="37" fontId="0" fillId="0" borderId="14" xfId="42" applyNumberFormat="1" applyFont="1" applyBorder="1" applyAlignment="1">
      <alignment/>
    </xf>
    <xf numFmtId="164" fontId="15" fillId="2" borderId="14" xfId="44" applyNumberFormat="1" applyFont="1" applyFill="1" applyBorder="1" applyAlignment="1">
      <alignment/>
    </xf>
    <xf numFmtId="37" fontId="0" fillId="2" borderId="14" xfId="42" applyNumberFormat="1" applyFont="1" applyFill="1" applyBorder="1" applyAlignment="1">
      <alignment/>
    </xf>
    <xf numFmtId="173" fontId="0" fillId="2" borderId="14" xfId="59" applyNumberFormat="1" applyFont="1" applyFill="1" applyBorder="1" applyAlignment="1">
      <alignment vertical="top" wrapText="1"/>
    </xf>
    <xf numFmtId="173" fontId="0" fillId="0" borderId="14" xfId="59" applyNumberFormat="1" applyFont="1" applyFill="1" applyBorder="1" applyAlignment="1">
      <alignment vertical="top" wrapText="1"/>
    </xf>
    <xf numFmtId="173" fontId="0" fillId="0" borderId="79" xfId="59" applyNumberFormat="1" applyFont="1" applyFill="1" applyBorder="1" applyAlignment="1">
      <alignment vertical="top" wrapText="1"/>
    </xf>
    <xf numFmtId="37" fontId="0" fillId="0" borderId="79" xfId="42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37" fontId="0" fillId="0" borderId="24" xfId="42" applyNumberFormat="1" applyFont="1" applyBorder="1" applyAlignment="1">
      <alignment/>
    </xf>
    <xf numFmtId="165" fontId="0" fillId="0" borderId="53" xfId="59" applyNumberFormat="1" applyFont="1" applyBorder="1" applyAlignment="1">
      <alignment/>
    </xf>
    <xf numFmtId="179" fontId="0" fillId="0" borderId="53" xfId="0" applyNumberFormat="1" applyFont="1" applyBorder="1" applyAlignment="1">
      <alignment/>
    </xf>
    <xf numFmtId="165" fontId="0" fillId="0" borderId="79" xfId="59" applyNumberFormat="1" applyFont="1" applyBorder="1" applyAlignment="1">
      <alignment/>
    </xf>
    <xf numFmtId="179" fontId="0" fillId="0" borderId="79" xfId="0" applyNumberFormat="1" applyFont="1" applyBorder="1" applyAlignment="1">
      <alignment/>
    </xf>
    <xf numFmtId="164" fontId="15" fillId="2" borderId="24" xfId="44" applyNumberFormat="1" applyFont="1" applyFill="1" applyBorder="1" applyAlignment="1">
      <alignment/>
    </xf>
    <xf numFmtId="37" fontId="0" fillId="2" borderId="24" xfId="42" applyNumberFormat="1" applyFont="1" applyFill="1" applyBorder="1" applyAlignment="1">
      <alignment/>
    </xf>
    <xf numFmtId="173" fontId="0" fillId="2" borderId="0" xfId="59" applyNumberFormat="1" applyFont="1" applyFill="1" applyBorder="1" applyAlignment="1">
      <alignment vertical="top" wrapText="1"/>
    </xf>
    <xf numFmtId="37" fontId="0" fillId="2" borderId="0" xfId="42" applyNumberFormat="1" applyFont="1" applyFill="1" applyBorder="1" applyAlignment="1">
      <alignment/>
    </xf>
    <xf numFmtId="180" fontId="28" fillId="24" borderId="34" xfId="0" applyNumberFormat="1" applyFont="1" applyFill="1" applyBorder="1" applyAlignment="1">
      <alignment horizontal="center"/>
    </xf>
    <xf numFmtId="173" fontId="29" fillId="24" borderId="0" xfId="0" applyNumberFormat="1" applyFont="1" applyFill="1" applyBorder="1" applyAlignment="1">
      <alignment horizontal="center"/>
    </xf>
    <xf numFmtId="180" fontId="29" fillId="24" borderId="0" xfId="0" applyNumberFormat="1" applyFont="1" applyFill="1" applyBorder="1" applyAlignment="1">
      <alignment horizontal="right"/>
    </xf>
    <xf numFmtId="173" fontId="29" fillId="24" borderId="40" xfId="0" applyNumberFormat="1" applyFont="1" applyFill="1" applyBorder="1" applyAlignment="1">
      <alignment horizontal="center"/>
    </xf>
    <xf numFmtId="180" fontId="29" fillId="24" borderId="40" xfId="0" applyNumberFormat="1" applyFont="1" applyFill="1" applyBorder="1" applyAlignment="1">
      <alignment horizontal="right"/>
    </xf>
    <xf numFmtId="173" fontId="29" fillId="24" borderId="38" xfId="0" applyNumberFormat="1" applyFont="1" applyFill="1" applyBorder="1" applyAlignment="1">
      <alignment horizontal="right"/>
    </xf>
    <xf numFmtId="180" fontId="29" fillId="24" borderId="38" xfId="0" applyNumberFormat="1" applyFont="1" applyFill="1" applyBorder="1" applyAlignment="1">
      <alignment horizontal="right"/>
    </xf>
    <xf numFmtId="173" fontId="0" fillId="2" borderId="0" xfId="59" applyNumberFormat="1" applyFont="1" applyFill="1" applyBorder="1" applyAlignment="1">
      <alignment vertical="top" wrapText="1"/>
    </xf>
    <xf numFmtId="37" fontId="0" fillId="2" borderId="0" xfId="42" applyNumberFormat="1" applyFont="1" applyFill="1" applyBorder="1" applyAlignment="1">
      <alignment/>
    </xf>
    <xf numFmtId="173" fontId="0" fillId="2" borderId="24" xfId="59" applyNumberFormat="1" applyFont="1" applyFill="1" applyBorder="1" applyAlignment="1">
      <alignment vertical="top" wrapText="1"/>
    </xf>
    <xf numFmtId="37" fontId="0" fillId="2" borderId="24" xfId="42" applyNumberFormat="1" applyFont="1" applyFill="1" applyBorder="1" applyAlignment="1">
      <alignment/>
    </xf>
    <xf numFmtId="165" fontId="0" fillId="0" borderId="24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 wrapText="1"/>
    </xf>
    <xf numFmtId="0" fontId="0" fillId="8" borderId="24" xfId="0" applyFont="1" applyFill="1" applyBorder="1" applyAlignment="1">
      <alignment wrapText="1"/>
    </xf>
    <xf numFmtId="173" fontId="0" fillId="0" borderId="14" xfId="59" applyNumberFormat="1" applyFont="1" applyFill="1" applyBorder="1" applyAlignment="1">
      <alignment wrapText="1"/>
    </xf>
    <xf numFmtId="173" fontId="0" fillId="0" borderId="79" xfId="59" applyNumberFormat="1" applyFont="1" applyFill="1" applyBorder="1" applyAlignment="1">
      <alignment wrapText="1"/>
    </xf>
    <xf numFmtId="0" fontId="24" fillId="0" borderId="0" xfId="0" applyFont="1" applyAlignment="1">
      <alignment horizontal="left" vertical="center"/>
    </xf>
    <xf numFmtId="0" fontId="61" fillId="0" borderId="0" xfId="53" applyFont="1" applyAlignment="1">
      <alignment/>
    </xf>
    <xf numFmtId="173" fontId="62" fillId="0" borderId="32" xfId="59" applyNumberFormat="1" applyFont="1" applyBorder="1" applyAlignment="1">
      <alignment horizontal="left" vertical="center"/>
    </xf>
    <xf numFmtId="173" fontId="16" fillId="0" borderId="32" xfId="59" applyNumberFormat="1" applyFont="1" applyBorder="1" applyAlignment="1">
      <alignment horizontal="right" vertical="center" wrapText="1"/>
    </xf>
    <xf numFmtId="164" fontId="64" fillId="0" borderId="89" xfId="44" applyNumberFormat="1" applyFont="1" applyBorder="1" applyAlignment="1">
      <alignment horizontal="left" vertical="center" wrapText="1"/>
    </xf>
    <xf numFmtId="0" fontId="23" fillId="0" borderId="81" xfId="53" applyFont="1" applyBorder="1" applyAlignment="1">
      <alignment horizontal="left" vertical="center" wrapText="1"/>
    </xf>
    <xf numFmtId="0" fontId="18" fillId="2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173" fontId="29" fillId="0" borderId="0" xfId="59" applyNumberFormat="1" applyFont="1" applyFill="1" applyBorder="1" applyAlignment="1">
      <alignment horizontal="right" vertical="center" wrapText="1"/>
    </xf>
    <xf numFmtId="179" fontId="0" fillId="0" borderId="0" xfId="0" applyNumberFormat="1" applyFill="1" applyBorder="1" applyAlignment="1">
      <alignment horizontal="left" vertical="center" wrapText="1"/>
    </xf>
    <xf numFmtId="173" fontId="0" fillId="0" borderId="0" xfId="0" applyNumberFormat="1" applyFill="1" applyBorder="1" applyAlignment="1">
      <alignment horizontal="left" vertical="center" wrapText="1"/>
    </xf>
    <xf numFmtId="179" fontId="15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73" fontId="41" fillId="8" borderId="32" xfId="59" applyNumberFormat="1" applyFont="1" applyFill="1" applyBorder="1" applyAlignment="1">
      <alignment horizontal="right" vertical="center" wrapText="1"/>
    </xf>
    <xf numFmtId="165" fontId="0" fillId="0" borderId="97" xfId="59" applyNumberFormat="1" applyBorder="1" applyAlignment="1">
      <alignment horizontal="right" vertical="center" wrapText="1"/>
    </xf>
    <xf numFmtId="173" fontId="53" fillId="0" borderId="57" xfId="59" applyNumberFormat="1" applyFont="1" applyFill="1" applyBorder="1" applyAlignment="1">
      <alignment horizontal="right" vertical="center" wrapText="1"/>
    </xf>
    <xf numFmtId="164" fontId="68" fillId="0" borderId="58" xfId="0" applyNumberFormat="1" applyFont="1" applyBorder="1" applyAlignment="1">
      <alignment horizontal="left" vertical="center" wrapText="1"/>
    </xf>
    <xf numFmtId="0" fontId="68" fillId="0" borderId="0" xfId="0" applyFont="1" applyAlignment="1">
      <alignment horizontal="right" wrapText="1"/>
    </xf>
    <xf numFmtId="164" fontId="68" fillId="0" borderId="57" xfId="44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43" fontId="69" fillId="0" borderId="0" xfId="42" applyFont="1" applyAlignment="1">
      <alignment horizontal="right"/>
    </xf>
    <xf numFmtId="0" fontId="70" fillId="0" borderId="0" xfId="0" applyFont="1" applyAlignment="1">
      <alignment horizontal="right"/>
    </xf>
    <xf numFmtId="43" fontId="70" fillId="0" borderId="0" xfId="42" applyFont="1" applyAlignment="1">
      <alignment/>
    </xf>
    <xf numFmtId="0" fontId="0" fillId="8" borderId="10" xfId="0" applyFill="1" applyBorder="1" applyAlignment="1">
      <alignment/>
    </xf>
    <xf numFmtId="171" fontId="20" fillId="0" borderId="52" xfId="59" applyNumberFormat="1" applyFont="1" applyFill="1" applyBorder="1" applyAlignment="1">
      <alignment wrapText="1"/>
    </xf>
    <xf numFmtId="171" fontId="20" fillId="0" borderId="22" xfId="59" applyNumberFormat="1" applyFont="1" applyFill="1" applyBorder="1" applyAlignment="1">
      <alignment wrapText="1"/>
    </xf>
    <xf numFmtId="171" fontId="22" fillId="2" borderId="22" xfId="44" applyNumberFormat="1" applyFont="1" applyFill="1" applyBorder="1" applyAlignment="1">
      <alignment/>
    </xf>
    <xf numFmtId="171" fontId="20" fillId="2" borderId="22" xfId="59" applyNumberFormat="1" applyFont="1" applyFill="1" applyBorder="1" applyAlignment="1">
      <alignment vertical="top" wrapText="1"/>
    </xf>
    <xf numFmtId="171" fontId="22" fillId="2" borderId="22" xfId="59" applyNumberFormat="1" applyFont="1" applyFill="1" applyBorder="1" applyAlignment="1">
      <alignment vertical="top" wrapText="1"/>
    </xf>
    <xf numFmtId="171" fontId="20" fillId="0" borderId="22" xfId="59" applyNumberFormat="1" applyFont="1" applyFill="1" applyBorder="1" applyAlignment="1">
      <alignment vertical="top" wrapText="1"/>
    </xf>
    <xf numFmtId="171" fontId="20" fillId="0" borderId="50" xfId="59" applyNumberFormat="1" applyFont="1" applyFill="1" applyBorder="1" applyAlignment="1">
      <alignment vertical="top" wrapText="1"/>
    </xf>
    <xf numFmtId="172" fontId="20" fillId="0" borderId="52" xfId="59" applyNumberFormat="1" applyFont="1" applyBorder="1" applyAlignment="1">
      <alignment/>
    </xf>
    <xf numFmtId="172" fontId="22" fillId="2" borderId="22" xfId="44" applyNumberFormat="1" applyFont="1" applyFill="1" applyBorder="1" applyAlignment="1">
      <alignment/>
    </xf>
    <xf numFmtId="172" fontId="20" fillId="2" borderId="22" xfId="59" applyNumberFormat="1" applyFont="1" applyFill="1" applyBorder="1" applyAlignment="1">
      <alignment vertical="top" wrapText="1"/>
    </xf>
    <xf numFmtId="172" fontId="20" fillId="0" borderId="50" xfId="59" applyNumberFormat="1" applyFont="1" applyBorder="1" applyAlignment="1">
      <alignment/>
    </xf>
    <xf numFmtId="172" fontId="22" fillId="2" borderId="23" xfId="44" applyNumberFormat="1" applyFont="1" applyFill="1" applyBorder="1" applyAlignment="1">
      <alignment/>
    </xf>
    <xf numFmtId="172" fontId="20" fillId="2" borderId="32" xfId="59" applyNumberFormat="1" applyFont="1" applyFill="1" applyBorder="1" applyAlignment="1">
      <alignment vertical="top" wrapText="1"/>
    </xf>
    <xf numFmtId="172" fontId="51" fillId="24" borderId="35" xfId="0" applyNumberFormat="1" applyFont="1" applyFill="1" applyBorder="1" applyAlignment="1">
      <alignment horizontal="left"/>
    </xf>
    <xf numFmtId="172" fontId="31" fillId="24" borderId="32" xfId="0" applyNumberFormat="1" applyFont="1" applyFill="1" applyBorder="1" applyAlignment="1">
      <alignment horizontal="center"/>
    </xf>
    <xf numFmtId="172" fontId="31" fillId="24" borderId="39" xfId="0" applyNumberFormat="1" applyFont="1" applyFill="1" applyBorder="1" applyAlignment="1">
      <alignment horizontal="center"/>
    </xf>
    <xf numFmtId="172" fontId="31" fillId="24" borderId="37" xfId="0" applyNumberFormat="1" applyFont="1" applyFill="1" applyBorder="1" applyAlignment="1">
      <alignment horizontal="right"/>
    </xf>
    <xf numFmtId="172" fontId="20" fillId="2" borderId="23" xfId="59" applyNumberFormat="1" applyFont="1" applyFill="1" applyBorder="1" applyAlignment="1">
      <alignment vertical="top" wrapText="1"/>
    </xf>
    <xf numFmtId="172" fontId="33" fillId="0" borderId="10" xfId="0" applyNumberFormat="1" applyFont="1" applyBorder="1" applyAlignment="1">
      <alignment/>
    </xf>
    <xf numFmtId="170" fontId="0" fillId="0" borderId="0" xfId="59" applyNumberFormat="1" applyFill="1" applyBorder="1" applyAlignment="1">
      <alignment horizontal="right" vertical="center" wrapText="1"/>
    </xf>
    <xf numFmtId="0" fontId="0" fillId="8" borderId="10" xfId="0" applyFill="1" applyBorder="1" applyAlignment="1">
      <alignment wrapText="1"/>
    </xf>
    <xf numFmtId="171" fontId="69" fillId="0" borderId="10" xfId="0" applyNumberFormat="1" applyFont="1" applyBorder="1" applyAlignment="1">
      <alignment/>
    </xf>
    <xf numFmtId="171" fontId="20" fillId="0" borderId="80" xfId="59" applyNumberFormat="1" applyFont="1" applyFill="1" applyBorder="1" applyAlignment="1">
      <alignment wrapText="1"/>
    </xf>
    <xf numFmtId="171" fontId="20" fillId="0" borderId="81" xfId="59" applyNumberFormat="1" applyFont="1" applyFill="1" applyBorder="1" applyAlignment="1">
      <alignment wrapText="1"/>
    </xf>
    <xf numFmtId="171" fontId="22" fillId="2" borderId="81" xfId="44" applyNumberFormat="1" applyFont="1" applyFill="1" applyBorder="1" applyAlignment="1">
      <alignment/>
    </xf>
    <xf numFmtId="171" fontId="20" fillId="2" borderId="81" xfId="59" applyNumberFormat="1" applyFont="1" applyFill="1" applyBorder="1" applyAlignment="1">
      <alignment vertical="top" wrapText="1"/>
    </xf>
    <xf numFmtId="171" fontId="22" fillId="2" borderId="81" xfId="59" applyNumberFormat="1" applyFont="1" applyFill="1" applyBorder="1" applyAlignment="1">
      <alignment vertical="top" wrapText="1"/>
    </xf>
    <xf numFmtId="171" fontId="20" fillId="0" borderId="81" xfId="59" applyNumberFormat="1" applyFont="1" applyFill="1" applyBorder="1" applyAlignment="1">
      <alignment vertical="top" wrapText="1"/>
    </xf>
    <xf numFmtId="171" fontId="20" fillId="0" borderId="82" xfId="59" applyNumberFormat="1" applyFont="1" applyFill="1" applyBorder="1" applyAlignment="1">
      <alignment vertical="top" wrapText="1"/>
    </xf>
    <xf numFmtId="0" fontId="0" fillId="25" borderId="25" xfId="0" applyFill="1" applyBorder="1" applyAlignment="1">
      <alignment horizontal="center"/>
    </xf>
    <xf numFmtId="39" fontId="20" fillId="0" borderId="86" xfId="42" applyNumberFormat="1" applyFont="1" applyBorder="1" applyAlignment="1">
      <alignment/>
    </xf>
    <xf numFmtId="39" fontId="20" fillId="2" borderId="102" xfId="42" applyNumberFormat="1" applyFont="1" applyFill="1" applyBorder="1" applyAlignment="1">
      <alignment/>
    </xf>
    <xf numFmtId="37" fontId="0" fillId="2" borderId="102" xfId="42" applyNumberFormat="1" applyFill="1" applyBorder="1" applyAlignment="1">
      <alignment/>
    </xf>
    <xf numFmtId="39" fontId="20" fillId="0" borderId="103" xfId="42" applyNumberFormat="1" applyFont="1" applyBorder="1" applyAlignment="1">
      <alignment/>
    </xf>
    <xf numFmtId="171" fontId="20" fillId="0" borderId="80" xfId="59" applyNumberFormat="1" applyFont="1" applyBorder="1" applyAlignment="1">
      <alignment/>
    </xf>
    <xf numFmtId="171" fontId="20" fillId="0" borderId="82" xfId="59" applyNumberFormat="1" applyFont="1" applyBorder="1" applyAlignment="1">
      <alignment/>
    </xf>
    <xf numFmtId="171" fontId="22" fillId="2" borderId="10" xfId="44" applyNumberFormat="1" applyFont="1" applyFill="1" applyBorder="1" applyAlignment="1">
      <alignment/>
    </xf>
    <xf numFmtId="171" fontId="20" fillId="2" borderId="44" xfId="59" applyNumberFormat="1" applyFont="1" applyFill="1" applyBorder="1" applyAlignment="1">
      <alignment vertical="top" wrapText="1"/>
    </xf>
    <xf numFmtId="171" fontId="51" fillId="24" borderId="90" xfId="0" applyNumberFormat="1" applyFont="1" applyFill="1" applyBorder="1" applyAlignment="1">
      <alignment horizontal="left"/>
    </xf>
    <xf numFmtId="171" fontId="31" fillId="24" borderId="44" xfId="0" applyNumberFormat="1" applyFont="1" applyFill="1" applyBorder="1" applyAlignment="1">
      <alignment horizontal="center"/>
    </xf>
    <xf numFmtId="171" fontId="31" fillId="24" borderId="91" xfId="0" applyNumberFormat="1" applyFont="1" applyFill="1" applyBorder="1" applyAlignment="1">
      <alignment horizontal="center"/>
    </xf>
    <xf numFmtId="171" fontId="31" fillId="24" borderId="92" xfId="0" applyNumberFormat="1" applyFont="1" applyFill="1" applyBorder="1" applyAlignment="1">
      <alignment horizontal="right"/>
    </xf>
    <xf numFmtId="171" fontId="20" fillId="2" borderId="10" xfId="59" applyNumberFormat="1" applyFont="1" applyFill="1" applyBorder="1" applyAlignment="1">
      <alignment vertical="top" wrapText="1"/>
    </xf>
    <xf numFmtId="171" fontId="20" fillId="0" borderId="10" xfId="0" applyNumberFormat="1" applyFont="1" applyBorder="1" applyAlignment="1">
      <alignment/>
    </xf>
    <xf numFmtId="0" fontId="33" fillId="25" borderId="10" xfId="0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0" fontId="68" fillId="8" borderId="44" xfId="0" applyFont="1" applyFill="1" applyBorder="1" applyAlignment="1">
      <alignment/>
    </xf>
    <xf numFmtId="0" fontId="68" fillId="0" borderId="44" xfId="0" applyFont="1" applyBorder="1" applyAlignment="1">
      <alignment/>
    </xf>
    <xf numFmtId="10" fontId="68" fillId="0" borderId="10" xfId="0" applyNumberFormat="1" applyFont="1" applyBorder="1" applyAlignment="1">
      <alignment/>
    </xf>
    <xf numFmtId="196" fontId="32" fillId="0" borderId="82" xfId="0" applyNumberFormat="1" applyFont="1" applyBorder="1" applyAlignment="1">
      <alignment horizontal="right" vertical="center" wrapText="1"/>
    </xf>
    <xf numFmtId="164" fontId="29" fillId="0" borderId="104" xfId="44" applyNumberFormat="1" applyFont="1" applyBorder="1" applyAlignment="1">
      <alignment horizontal="left" vertical="center" wrapText="1"/>
    </xf>
    <xf numFmtId="164" fontId="29" fillId="0" borderId="50" xfId="44" applyNumberFormat="1" applyFont="1" applyBorder="1" applyAlignment="1">
      <alignment horizontal="left" vertical="center" wrapText="1"/>
    </xf>
    <xf numFmtId="165" fontId="30" fillId="0" borderId="67" xfId="59" applyNumberFormat="1" applyFont="1" applyBorder="1" applyAlignment="1">
      <alignment horizontal="right" vertical="center"/>
    </xf>
    <xf numFmtId="179" fontId="24" fillId="0" borderId="15" xfId="0" applyNumberFormat="1" applyFont="1" applyBorder="1" applyAlignment="1">
      <alignment horizontal="left" vertical="center" wrapText="1"/>
    </xf>
    <xf numFmtId="173" fontId="24" fillId="0" borderId="14" xfId="59" applyNumberFormat="1" applyFont="1" applyFill="1" applyBorder="1" applyAlignment="1">
      <alignment vertical="top" wrapText="1"/>
    </xf>
    <xf numFmtId="0" fontId="24" fillId="0" borderId="22" xfId="0" applyFont="1" applyBorder="1" applyAlignment="1">
      <alignment/>
    </xf>
    <xf numFmtId="0" fontId="40" fillId="0" borderId="0" xfId="0" applyFont="1" applyAlignment="1">
      <alignment horizontal="center"/>
    </xf>
    <xf numFmtId="0" fontId="15" fillId="0" borderId="73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nfo.ca.gov/pub/11-12/bill/sen/sb_1001-1050/sb_1020_bill_20120627_chaptered.pdf" TargetMode="External" /><Relationship Id="rId2" Type="http://schemas.openxmlformats.org/officeDocument/2006/relationships/hyperlink" Target="http://www.cmhda.org/go/Portals/0/CMHDA%20Files/Breaking%20News/1209_September/Behavorial_Health_Subaccount_Percent_Allocations_2012-13_(9-18-12).xlsx" TargetMode="External" /><Relationship Id="rId3" Type="http://schemas.openxmlformats.org/officeDocument/2006/relationships/hyperlink" Target="http://www.leginfo.ca.gov/pub/11-12/bill/sen/sb_1001-1050/sb_1020_bill_20120627_chaptered.pdf" TargetMode="External" /><Relationship Id="rId4" Type="http://schemas.openxmlformats.org/officeDocument/2006/relationships/hyperlink" Target="http://www.cmhda.org/go/Portals/0/CMHDA%20Files/Breaking%20News/1209_September/Behavorial_Health_Subaccount_Percent_Allocations_2012-13_(9-18-12).xlsx" TargetMode="External" /><Relationship Id="rId5" Type="http://schemas.openxmlformats.org/officeDocument/2006/relationships/hyperlink" Target="http://www.dss.cahwnet.gov/lettersnotices/entres/getinfo/cfl/2012-13/12_13-16.pdf" TargetMode="External" /><Relationship Id="rId6" Type="http://schemas.openxmlformats.org/officeDocument/2006/relationships/hyperlink" Target="http://www.sco.ca.gov/ard_local_apportionments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protectiveservices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hyperlink" Target="http://www.sco.ca.gov/ard_payments_lrf_recon.html" TargetMode="External" /><Relationship Id="rId6" Type="http://schemas.openxmlformats.org/officeDocument/2006/relationships/hyperlink" Target="http://www.sco.ca.gov/ard_payments_lrf_recon.html" TargetMode="External" /><Relationship Id="rId7" Type="http://schemas.openxmlformats.org/officeDocument/2006/relationships/hyperlink" Target="http://www.sco.ca.gov/ard_payments_lrf_recon.html" TargetMode="External" /><Relationship Id="rId8" Type="http://schemas.openxmlformats.org/officeDocument/2006/relationships/hyperlink" Target="http://www.sco.ca.gov/ard_payments_lrf_recon.html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lrf_recon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protectiveservices.html" TargetMode="External" /><Relationship Id="rId2" Type="http://schemas.openxmlformats.org/officeDocument/2006/relationships/hyperlink" Target="http://www.sco.ca.gov/ard_payments_behavioralhealth.html" TargetMode="External" /><Relationship Id="rId3" Type="http://schemas.openxmlformats.org/officeDocument/2006/relationships/hyperlink" Target="http://www.sco.ca.gov/ard_payments_womenandchildrenresidemtialtreatment.html" TargetMode="External" /><Relationship Id="rId4" Type="http://schemas.openxmlformats.org/officeDocument/2006/relationships/hyperlink" Target="http://www.sco.ca.gov/ard_payments_protectiveservices.html" TargetMode="External" /><Relationship Id="rId5" Type="http://schemas.openxmlformats.org/officeDocument/2006/relationships/hyperlink" Target="http://www.sco.ca.gov/ard_payments_behavioralhealth.html" TargetMode="External" /><Relationship Id="rId6" Type="http://schemas.openxmlformats.org/officeDocument/2006/relationships/hyperlink" Target="http://www.sco.ca.gov/ard_payments_womenandchildrenresidemtialtreatment.html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lrf_recon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hyperlink" Target="http://www.sco.ca.gov/ard_payments_lrf_recon.html" TargetMode="External" /><Relationship Id="rId6" Type="http://schemas.openxmlformats.org/officeDocument/2006/relationships/hyperlink" Target="http://www.sco.ca.gov/ard_payments_lrf_recon.html" TargetMode="External" /><Relationship Id="rId7" Type="http://schemas.openxmlformats.org/officeDocument/2006/relationships/hyperlink" Target="http://www.sco.ca.gov/ard_payments_lrf_recon.html" TargetMode="External" /><Relationship Id="rId8" Type="http://schemas.openxmlformats.org/officeDocument/2006/relationships/hyperlink" Target="http://www.sco.ca.gov/ard_payments_lrf_recon.html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.ca.gov/ard_payments_lrf_recon.html" TargetMode="External" /><Relationship Id="rId2" Type="http://schemas.openxmlformats.org/officeDocument/2006/relationships/hyperlink" Target="http://www.sco.ca.gov/ard_payments_lrf_recon.html" TargetMode="External" /><Relationship Id="rId3" Type="http://schemas.openxmlformats.org/officeDocument/2006/relationships/hyperlink" Target="http://www.sco.ca.gov/ard_payments_lrf_recon.html" TargetMode="External" /><Relationship Id="rId4" Type="http://schemas.openxmlformats.org/officeDocument/2006/relationships/hyperlink" Target="http://www.sco.ca.gov/ard_payments_lrf_recon.html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55"/>
  <sheetViews>
    <sheetView workbookViewId="0" topLeftCell="A25">
      <selection activeCell="G55" sqref="G55"/>
    </sheetView>
  </sheetViews>
  <sheetFormatPr defaultColWidth="9.140625" defaultRowHeight="15"/>
  <sheetData>
    <row r="1" ht="15.75">
      <c r="A1" s="346" t="s">
        <v>112</v>
      </c>
    </row>
    <row r="2" ht="15.75">
      <c r="A2" s="346"/>
    </row>
    <row r="3" ht="15.75">
      <c r="A3" s="346" t="s">
        <v>248</v>
      </c>
    </row>
    <row r="4" ht="15.75">
      <c r="A4" s="346"/>
    </row>
    <row r="5" ht="15.75">
      <c r="A5" s="346"/>
    </row>
    <row r="6" ht="15.75">
      <c r="A6" s="346"/>
    </row>
    <row r="7" ht="15.75">
      <c r="A7" s="346" t="s">
        <v>250</v>
      </c>
    </row>
    <row r="8" ht="15.75">
      <c r="A8" s="346"/>
    </row>
    <row r="9" ht="15.75">
      <c r="A9" s="347" t="s">
        <v>249</v>
      </c>
    </row>
    <row r="10" ht="15.75">
      <c r="A10" s="347" t="s">
        <v>113</v>
      </c>
    </row>
    <row r="11" ht="15.75">
      <c r="A11" s="347" t="s">
        <v>282</v>
      </c>
    </row>
    <row r="12" spans="1:2" ht="15.75">
      <c r="A12" s="347"/>
      <c r="B12" s="495" t="s">
        <v>284</v>
      </c>
    </row>
    <row r="13" ht="15.75">
      <c r="A13" s="347" t="s">
        <v>123</v>
      </c>
    </row>
    <row r="14" spans="1:2" ht="15.75">
      <c r="A14" s="347"/>
      <c r="B14" s="493" t="s">
        <v>257</v>
      </c>
    </row>
    <row r="15" spans="1:6" ht="15.75">
      <c r="A15" s="347"/>
      <c r="B15" s="493" t="s">
        <v>256</v>
      </c>
      <c r="E15" s="348"/>
      <c r="F15" s="348"/>
    </row>
    <row r="16" spans="1:6" ht="15.75">
      <c r="A16" s="347"/>
      <c r="B16" s="349" t="s">
        <v>122</v>
      </c>
      <c r="F16" s="348"/>
    </row>
    <row r="17" spans="1:6" ht="15.75">
      <c r="A17" s="347"/>
      <c r="B17" s="349"/>
      <c r="F17" s="348"/>
    </row>
    <row r="18" spans="1:6" ht="15.75">
      <c r="A18" s="347"/>
      <c r="B18" s="349"/>
      <c r="F18" s="348"/>
    </row>
    <row r="19" spans="1:6" ht="15.75">
      <c r="A19" s="379" t="s">
        <v>251</v>
      </c>
      <c r="B19" s="380"/>
      <c r="F19" s="348"/>
    </row>
    <row r="20" spans="1:6" ht="15.75">
      <c r="A20" s="379"/>
      <c r="B20" s="380"/>
      <c r="F20" s="348"/>
    </row>
    <row r="21" spans="1:2" ht="15.75">
      <c r="A21" s="381"/>
      <c r="B21" s="379"/>
    </row>
    <row r="22" ht="15.75">
      <c r="A22" s="346" t="s">
        <v>252</v>
      </c>
    </row>
    <row r="23" ht="15.75">
      <c r="A23" s="346"/>
    </row>
    <row r="24" ht="15.75">
      <c r="A24" s="347" t="s">
        <v>253</v>
      </c>
    </row>
    <row r="25" spans="1:2" ht="15.75">
      <c r="A25" s="347"/>
      <c r="B25" s="347" t="s">
        <v>254</v>
      </c>
    </row>
    <row r="26" ht="15.75">
      <c r="A26" s="347" t="s">
        <v>113</v>
      </c>
    </row>
    <row r="27" ht="15.75">
      <c r="A27" s="347" t="s">
        <v>283</v>
      </c>
    </row>
    <row r="28" spans="1:2" ht="15.75">
      <c r="A28" s="347"/>
      <c r="B28" s="347" t="s">
        <v>285</v>
      </c>
    </row>
    <row r="29" ht="15.75">
      <c r="A29" s="347" t="s">
        <v>123</v>
      </c>
    </row>
    <row r="30" spans="1:2" ht="15.75">
      <c r="A30" s="347"/>
      <c r="B30" s="493" t="s">
        <v>255</v>
      </c>
    </row>
    <row r="31" spans="1:6" ht="15.75">
      <c r="A31" s="347"/>
      <c r="B31" s="495" t="s">
        <v>258</v>
      </c>
      <c r="E31" s="348"/>
      <c r="F31" s="496" t="s">
        <v>259</v>
      </c>
    </row>
    <row r="32" spans="1:6" ht="15.75">
      <c r="A32" s="347"/>
      <c r="B32" s="493" t="s">
        <v>260</v>
      </c>
      <c r="F32" s="496" t="s">
        <v>261</v>
      </c>
    </row>
    <row r="33" spans="1:6" ht="15.75">
      <c r="A33" s="347"/>
      <c r="B33" s="349" t="s">
        <v>262</v>
      </c>
      <c r="F33" s="496"/>
    </row>
    <row r="34" spans="1:6" ht="15.75">
      <c r="A34" s="347"/>
      <c r="B34" s="349"/>
      <c r="F34" s="496"/>
    </row>
    <row r="35" spans="1:6" ht="15.75">
      <c r="A35" s="379" t="s">
        <v>277</v>
      </c>
      <c r="B35" s="380"/>
      <c r="F35" s="348"/>
    </row>
    <row r="36" spans="1:6" ht="15.75">
      <c r="A36" s="379"/>
      <c r="B36" s="587" t="s">
        <v>275</v>
      </c>
      <c r="F36" s="348"/>
    </row>
    <row r="37" spans="1:6" ht="15.75">
      <c r="A37" s="379"/>
      <c r="B37" s="587" t="s">
        <v>276</v>
      </c>
      <c r="F37" s="348"/>
    </row>
    <row r="38" spans="1:2" ht="15.75">
      <c r="A38" s="381"/>
      <c r="B38" s="61"/>
    </row>
    <row r="39" ht="15.75">
      <c r="A39" s="346" t="s">
        <v>114</v>
      </c>
    </row>
    <row r="40" ht="15.75">
      <c r="A40" s="346"/>
    </row>
    <row r="41" ht="15.75">
      <c r="A41" s="347" t="s">
        <v>115</v>
      </c>
    </row>
    <row r="42" ht="15.75">
      <c r="A42" s="347" t="s">
        <v>116</v>
      </c>
    </row>
    <row r="43" ht="15.75">
      <c r="A43" s="347" t="s">
        <v>270</v>
      </c>
    </row>
    <row r="44" ht="15.75">
      <c r="A44" s="346"/>
    </row>
    <row r="45" ht="15.75">
      <c r="A45" s="346" t="s">
        <v>117</v>
      </c>
    </row>
    <row r="46" ht="15.75">
      <c r="A46" s="346"/>
    </row>
    <row r="47" ht="15.75">
      <c r="A47" s="347" t="s">
        <v>124</v>
      </c>
    </row>
    <row r="48" ht="15.75">
      <c r="A48" s="346"/>
    </row>
    <row r="49" ht="15.75">
      <c r="A49" s="346" t="s">
        <v>118</v>
      </c>
    </row>
    <row r="50" ht="15.75">
      <c r="A50" s="346"/>
    </row>
    <row r="51" ht="15.75">
      <c r="A51" s="347" t="s">
        <v>119</v>
      </c>
    </row>
    <row r="52" ht="15.75">
      <c r="A52" s="346"/>
    </row>
    <row r="53" ht="15.75">
      <c r="A53" s="346" t="s">
        <v>120</v>
      </c>
    </row>
    <row r="54" ht="15.75">
      <c r="A54" s="346"/>
    </row>
    <row r="55" ht="15.75">
      <c r="A55" s="347" t="s">
        <v>121</v>
      </c>
    </row>
  </sheetData>
  <hyperlinks>
    <hyperlink ref="B14" r:id="rId1" display="Statewide Distribution"/>
    <hyperlink ref="B16" r:id="rId2" display="Behavioral Health Distribution"/>
    <hyperlink ref="B30" r:id="rId3" display="Statewide Distribution"/>
    <hyperlink ref="B32" r:id="rId4" display="Behavioral Health Distribution"/>
    <hyperlink ref="B15" r:id="rId5" display="Protective Services Distribution"/>
    <hyperlink ref="B33" r:id="rId6" display="Juvenile Justice GROWTH Distribution"/>
  </hyperlinks>
  <printOptions/>
  <pageMargins left="0" right="0" top="0" bottom="0" header="0.5" footer="0.5"/>
  <pageSetup fitToHeight="1" fitToWidth="1" horizontalDpi="600" verticalDpi="600" orientation="portrait" scale="87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K17"/>
  <sheetViews>
    <sheetView workbookViewId="0" topLeftCell="A1">
      <selection activeCell="N27" sqref="N27"/>
    </sheetView>
  </sheetViews>
  <sheetFormatPr defaultColWidth="9.140625" defaultRowHeight="15"/>
  <sheetData>
    <row r="1" spans="1:11" ht="18.75">
      <c r="A1" s="671" t="s">
        <v>126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1" ht="18.75">
      <c r="A2" s="671"/>
      <c r="B2" s="671"/>
      <c r="C2" s="671"/>
      <c r="D2" s="671"/>
      <c r="E2" s="671"/>
      <c r="F2" s="671"/>
      <c r="G2" s="671"/>
      <c r="H2" s="671"/>
      <c r="I2" s="671"/>
      <c r="J2" s="671"/>
      <c r="K2" s="671"/>
    </row>
    <row r="3" spans="1:11" ht="1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5">
      <c r="A4" s="351"/>
      <c r="B4" s="24" t="s">
        <v>134</v>
      </c>
      <c r="C4" s="24"/>
      <c r="D4" s="24"/>
      <c r="E4" s="24" t="s">
        <v>135</v>
      </c>
      <c r="F4" s="24"/>
      <c r="G4" s="351"/>
      <c r="H4" s="351"/>
      <c r="I4" s="351"/>
      <c r="J4" s="351"/>
      <c r="K4" s="351"/>
    </row>
    <row r="5" spans="1:11" ht="15">
      <c r="A5" s="351"/>
      <c r="B5" s="24" t="s">
        <v>136</v>
      </c>
      <c r="D5" s="24"/>
      <c r="E5" s="24" t="s">
        <v>137</v>
      </c>
      <c r="F5" s="24"/>
      <c r="G5" s="351"/>
      <c r="H5" s="351"/>
      <c r="I5" s="351"/>
      <c r="J5" s="351"/>
      <c r="K5" s="351"/>
    </row>
    <row r="6" spans="1:11" ht="15">
      <c r="A6" s="351"/>
      <c r="B6" s="24"/>
      <c r="D6" s="24"/>
      <c r="E6" s="24"/>
      <c r="F6" s="24"/>
      <c r="G6" s="351"/>
      <c r="H6" s="351"/>
      <c r="I6" s="351"/>
      <c r="J6" s="351"/>
      <c r="K6" s="351"/>
    </row>
    <row r="7" spans="1:11" ht="15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ht="15">
      <c r="A8" s="351"/>
      <c r="B8" s="352" t="s">
        <v>133</v>
      </c>
      <c r="C8" s="351"/>
      <c r="D8" s="351"/>
      <c r="E8" s="351"/>
      <c r="F8" s="351"/>
      <c r="G8" s="351"/>
      <c r="H8" s="351"/>
      <c r="I8" s="351"/>
      <c r="J8" s="351"/>
      <c r="K8" s="351"/>
    </row>
    <row r="9" spans="1:11" ht="15">
      <c r="A9" s="351"/>
      <c r="B9" s="352" t="s">
        <v>125</v>
      </c>
      <c r="C9" s="351"/>
      <c r="D9" s="351"/>
      <c r="E9" s="351"/>
      <c r="F9" s="351"/>
      <c r="G9" s="351"/>
      <c r="H9" s="351"/>
      <c r="I9" s="351"/>
      <c r="J9" s="351"/>
      <c r="K9" s="351"/>
    </row>
    <row r="10" spans="1:11" ht="15">
      <c r="A10" s="351"/>
      <c r="B10" s="352" t="s">
        <v>138</v>
      </c>
      <c r="C10" s="351"/>
      <c r="D10" s="351"/>
      <c r="E10" s="351"/>
      <c r="F10" s="351"/>
      <c r="G10" s="351"/>
      <c r="H10" s="351"/>
      <c r="I10" s="351"/>
      <c r="J10" s="351"/>
      <c r="K10" s="351"/>
    </row>
    <row r="11" ht="15">
      <c r="B11" s="353" t="s">
        <v>139</v>
      </c>
    </row>
    <row r="12" ht="15">
      <c r="B12" s="353" t="s">
        <v>127</v>
      </c>
    </row>
    <row r="13" ht="15">
      <c r="B13" s="353" t="s">
        <v>129</v>
      </c>
    </row>
    <row r="14" ht="15">
      <c r="B14" s="353" t="s">
        <v>128</v>
      </c>
    </row>
    <row r="15" ht="15">
      <c r="B15" s="353" t="s">
        <v>130</v>
      </c>
    </row>
    <row r="16" ht="15">
      <c r="B16" s="353" t="s">
        <v>131</v>
      </c>
    </row>
    <row r="17" ht="15">
      <c r="B17" s="353" t="s">
        <v>132</v>
      </c>
    </row>
  </sheetData>
  <mergeCells count="2">
    <mergeCell ref="A1:K1"/>
    <mergeCell ref="A2:K2"/>
  </mergeCells>
  <printOptions/>
  <pageMargins left="0.25" right="0.25" top="1" bottom="1" header="0.5" footer="0"/>
  <pageSetup horizontalDpi="600" verticalDpi="600" orientation="portrait" r:id="rId1"/>
  <headerFooter alignWithMargins="0">
    <oddFooter>&amp;L&amp;8&amp;Z&amp;F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0"/>
  <sheetViews>
    <sheetView tabSelected="1" workbookViewId="0" topLeftCell="A40">
      <selection activeCell="K33" sqref="K33"/>
    </sheetView>
  </sheetViews>
  <sheetFormatPr defaultColWidth="9.140625" defaultRowHeight="15" outlineLevelRow="1"/>
  <cols>
    <col min="1" max="1" width="27.57421875" style="2" customWidth="1"/>
    <col min="2" max="2" width="15.28125" style="2" bestFit="1" customWidth="1"/>
    <col min="3" max="4" width="15.00390625" style="2" customWidth="1"/>
    <col min="5" max="5" width="5.140625" style="2" customWidth="1"/>
    <col min="6" max="6" width="18.00390625" style="2" customWidth="1"/>
    <col min="7" max="7" width="15.7109375" style="2" customWidth="1"/>
    <col min="8" max="8" width="15.8515625" style="2" customWidth="1"/>
    <col min="9" max="16384" width="9.140625" style="2" customWidth="1"/>
  </cols>
  <sheetData>
    <row r="1" spans="1:4" ht="15.75" customHeight="1" thickBot="1">
      <c r="A1" s="190"/>
      <c r="B1" s="190" t="s">
        <v>100</v>
      </c>
      <c r="C1" s="192" t="s">
        <v>303</v>
      </c>
      <c r="D1" s="197"/>
    </row>
    <row r="2" spans="1:5" ht="16.5" thickBot="1">
      <c r="A2" s="1"/>
      <c r="B2" s="191" t="s">
        <v>97</v>
      </c>
      <c r="C2" s="193" t="s">
        <v>240</v>
      </c>
      <c r="D2" s="198"/>
      <c r="E2" s="187"/>
    </row>
    <row r="3" spans="1:4" ht="15.75">
      <c r="A3" s="1"/>
      <c r="B3" s="5"/>
      <c r="C3" s="1"/>
      <c r="D3" s="199"/>
    </row>
    <row r="4" spans="1:7" ht="15" customHeight="1">
      <c r="A4" s="677" t="s">
        <v>305</v>
      </c>
      <c r="B4" s="677"/>
      <c r="C4" s="677"/>
      <c r="D4" s="677"/>
      <c r="E4" s="677"/>
      <c r="F4" s="677"/>
      <c r="G4" s="677"/>
    </row>
    <row r="5" spans="1:7" ht="8.25" customHeight="1">
      <c r="A5" s="383"/>
      <c r="B5" s="383"/>
      <c r="C5" s="383"/>
      <c r="D5" s="383"/>
      <c r="E5" s="383"/>
      <c r="F5" s="383"/>
      <c r="G5" s="383"/>
    </row>
    <row r="6" spans="1:7" ht="8.25" customHeight="1" thickBot="1">
      <c r="A6" s="677"/>
      <c r="B6" s="677"/>
      <c r="C6" s="677"/>
      <c r="D6" s="677"/>
      <c r="E6" s="677"/>
      <c r="F6" s="677"/>
      <c r="G6" s="677"/>
    </row>
    <row r="7" spans="2:6" ht="15.75" customHeight="1" thickBot="1">
      <c r="B7" s="3" t="s">
        <v>98</v>
      </c>
      <c r="C7" s="388">
        <v>0.641975</v>
      </c>
      <c r="D7" s="200"/>
      <c r="F7" s="153"/>
    </row>
    <row r="8" spans="2:6" ht="16.5" thickBot="1">
      <c r="B8" s="5"/>
      <c r="C8" s="502">
        <v>2865597798</v>
      </c>
      <c r="F8" s="153"/>
    </row>
    <row r="9" spans="1:8" ht="65.25" customHeight="1" thickBot="1">
      <c r="A9" s="221" t="s">
        <v>1</v>
      </c>
      <c r="B9" s="168" t="s">
        <v>306</v>
      </c>
      <c r="C9" s="170" t="s">
        <v>3</v>
      </c>
      <c r="D9" s="222" t="s">
        <v>101</v>
      </c>
      <c r="F9" s="251" t="str">
        <f>CONCATENATE(C2," ","County Portion")</f>
        <v>San Mateo County Portion</v>
      </c>
      <c r="G9" s="252" t="str">
        <f>CONCATENATE(C2," ","County Portion")</f>
        <v>San Mateo County Portion</v>
      </c>
      <c r="H9" s="186"/>
    </row>
    <row r="10" spans="1:8" ht="6.75" customHeight="1" thickBot="1">
      <c r="A10" s="167"/>
      <c r="B10" s="176"/>
      <c r="C10" s="176"/>
      <c r="D10" s="224"/>
      <c r="F10" s="163"/>
      <c r="G10" s="164"/>
      <c r="H10" s="187"/>
    </row>
    <row r="11" spans="1:8" ht="15">
      <c r="A11" s="503" t="s">
        <v>83</v>
      </c>
      <c r="B11" s="665">
        <f>+C8*C11</f>
        <v>1812802957.3949819</v>
      </c>
      <c r="C11" s="394">
        <v>0.632609</v>
      </c>
      <c r="D11" s="507">
        <f>B11/B$35</f>
        <v>0.4061191627663301</v>
      </c>
      <c r="F11" s="483">
        <f>SUMIF($A$73:$A$131,$C$2,B$73:B$131)</f>
        <v>0.0097509118</v>
      </c>
      <c r="G11" s="248">
        <f>B11*F11</f>
        <v>17676481.748337626</v>
      </c>
      <c r="H11" s="188"/>
    </row>
    <row r="12" spans="1:8" ht="15">
      <c r="A12" s="591" t="s">
        <v>84</v>
      </c>
      <c r="B12" s="665">
        <f>(C8*C12)-5104000</f>
        <v>1047690840.605018</v>
      </c>
      <c r="C12" s="394">
        <v>0.367391</v>
      </c>
      <c r="D12" s="508">
        <f>B12/B$35</f>
        <v>0.23471239678243497</v>
      </c>
      <c r="F12" s="483">
        <f>SUMIF($A$73:$A$131,$C$2,F$73:F$131)</f>
        <v>0.008039011364921843</v>
      </c>
      <c r="G12" s="248">
        <f>B12*F12</f>
        <v>8422398.57454826</v>
      </c>
      <c r="H12" s="188"/>
    </row>
    <row r="13" spans="1:8" ht="15.75" thickBot="1">
      <c r="A13" s="504" t="s">
        <v>88</v>
      </c>
      <c r="B13" s="666">
        <v>5104000</v>
      </c>
      <c r="C13" s="667"/>
      <c r="D13" s="664">
        <f>B13/B$35</f>
        <v>0.001143440437529974</v>
      </c>
      <c r="F13" s="483">
        <f>SUMIF(A$14:A$19,C$2,C$14:C$19)</f>
        <v>0</v>
      </c>
      <c r="G13" s="248">
        <f>B13*F13</f>
        <v>0</v>
      </c>
      <c r="H13" s="188"/>
    </row>
    <row r="14" spans="1:8" ht="15" outlineLevel="1">
      <c r="A14" s="411" t="s">
        <v>264</v>
      </c>
      <c r="B14" s="590">
        <v>687665</v>
      </c>
      <c r="C14" s="505">
        <f aca="true" t="shared" si="0" ref="C14:C19">B14/B$13</f>
        <v>0.13473060344827587</v>
      </c>
      <c r="D14" s="338"/>
      <c r="F14" s="498"/>
      <c r="G14" s="499"/>
      <c r="H14" s="188"/>
    </row>
    <row r="15" spans="1:8" ht="15" outlineLevel="1">
      <c r="A15" s="411" t="s">
        <v>265</v>
      </c>
      <c r="B15" s="590">
        <v>728485</v>
      </c>
      <c r="C15" s="505">
        <f t="shared" si="0"/>
        <v>0.14272825235109718</v>
      </c>
      <c r="D15" s="338"/>
      <c r="F15" s="498"/>
      <c r="G15" s="499"/>
      <c r="H15" s="188"/>
    </row>
    <row r="16" spans="1:8" ht="15" outlineLevel="1">
      <c r="A16" s="411" t="s">
        <v>266</v>
      </c>
      <c r="B16" s="590">
        <v>2132488</v>
      </c>
      <c r="C16" s="505">
        <f t="shared" si="0"/>
        <v>0.41780721003134796</v>
      </c>
      <c r="D16" s="338"/>
      <c r="F16" s="498"/>
      <c r="G16" s="499"/>
      <c r="H16" s="188"/>
    </row>
    <row r="17" spans="1:8" ht="15" outlineLevel="1">
      <c r="A17" s="411" t="s">
        <v>267</v>
      </c>
      <c r="B17" s="590">
        <v>553940</v>
      </c>
      <c r="C17" s="505">
        <f t="shared" si="0"/>
        <v>0.10853056426332289</v>
      </c>
      <c r="D17" s="338"/>
      <c r="F17" s="498"/>
      <c r="G17" s="499"/>
      <c r="H17" s="188"/>
    </row>
    <row r="18" spans="1:8" ht="15" outlineLevel="1">
      <c r="A18" s="411" t="s">
        <v>268</v>
      </c>
      <c r="B18" s="590">
        <v>182286</v>
      </c>
      <c r="C18" s="505">
        <f t="shared" si="0"/>
        <v>0.03571434169278997</v>
      </c>
      <c r="D18" s="338"/>
      <c r="F18" s="498"/>
      <c r="G18" s="499"/>
      <c r="H18" s="188"/>
    </row>
    <row r="19" spans="1:8" ht="15.75" outlineLevel="1" thickBot="1">
      <c r="A19" s="411" t="s">
        <v>269</v>
      </c>
      <c r="B19" s="590">
        <v>819136</v>
      </c>
      <c r="C19" s="505">
        <f t="shared" si="0"/>
        <v>0.16048902821316616</v>
      </c>
      <c r="D19" s="338"/>
      <c r="F19" s="498"/>
      <c r="G19" s="499"/>
      <c r="H19" s="188"/>
    </row>
    <row r="20" spans="1:8" ht="15.75" thickBot="1">
      <c r="A20" s="215" t="s">
        <v>41</v>
      </c>
      <c r="B20" s="216">
        <f>SUM(B11:B13)</f>
        <v>2865597798</v>
      </c>
      <c r="C20" s="506">
        <f>SUM(C11:C13)</f>
        <v>1</v>
      </c>
      <c r="D20" s="339">
        <f>SUM(D11:D13)</f>
        <v>0.641974999986295</v>
      </c>
      <c r="F20" s="184"/>
      <c r="G20" s="194">
        <f>SUM(G11:G13)</f>
        <v>26098880.322885886</v>
      </c>
      <c r="H20" s="189"/>
    </row>
    <row r="22" ht="15.75" thickBot="1"/>
    <row r="23" spans="2:6" ht="15.75" customHeight="1" thickBot="1">
      <c r="B23" s="3" t="s">
        <v>99</v>
      </c>
      <c r="C23" s="388">
        <v>0.358025</v>
      </c>
      <c r="D23" s="200"/>
      <c r="F23" s="153"/>
    </row>
    <row r="24" spans="3:6" ht="15.75" customHeight="1" thickBot="1">
      <c r="C24" s="502">
        <v>1598123995</v>
      </c>
      <c r="F24" s="153"/>
    </row>
    <row r="25" spans="1:8" ht="45.75" thickBot="1">
      <c r="A25" s="221" t="s">
        <v>1</v>
      </c>
      <c r="B25" s="168" t="s">
        <v>306</v>
      </c>
      <c r="C25" s="170" t="s">
        <v>3</v>
      </c>
      <c r="D25" s="222" t="s">
        <v>101</v>
      </c>
      <c r="E25" s="15"/>
      <c r="F25" s="251" t="str">
        <f>CONCATENATE(C2," ","County Portion (% of Allocation)")</f>
        <v>San Mateo County Portion (% of Allocation)</v>
      </c>
      <c r="G25" s="252" t="str">
        <f>CONCATENATE(C2," ","County Portion")</f>
        <v>San Mateo County Portion</v>
      </c>
      <c r="H25" s="186"/>
    </row>
    <row r="26" spans="1:8" ht="5.25" customHeight="1" thickBot="1">
      <c r="A26" s="178"/>
      <c r="B26" s="182"/>
      <c r="C26" s="182"/>
      <c r="D26" s="223"/>
      <c r="F26" s="165"/>
      <c r="G26" s="166"/>
      <c r="H26" s="187"/>
    </row>
    <row r="27" spans="1:8" ht="15.75" customHeight="1">
      <c r="A27" s="127" t="s">
        <v>85</v>
      </c>
      <c r="B27" s="665">
        <f>C24*C27</f>
        <v>492389993.479475</v>
      </c>
      <c r="C27" s="394">
        <v>0.308105</v>
      </c>
      <c r="D27" s="340">
        <f>B27/B$35</f>
        <v>0.11030929262922257</v>
      </c>
      <c r="F27" s="485">
        <f>SUMIF($A$147:$A$206,$C$2,B$147:B$206)</f>
        <v>0</v>
      </c>
      <c r="G27" s="195">
        <f>B27*F27</f>
        <v>0</v>
      </c>
      <c r="H27" s="187"/>
    </row>
    <row r="28" spans="1:8" ht="15">
      <c r="A28" s="127" t="s">
        <v>86</v>
      </c>
      <c r="B28" s="665">
        <f>C24*C28</f>
        <v>990772951.9402</v>
      </c>
      <c r="C28" s="394">
        <v>0.61996</v>
      </c>
      <c r="D28" s="340">
        <f>B28/B$35</f>
        <v>0.2219611790084965</v>
      </c>
      <c r="F28" s="486">
        <f>SUMIF($A$147:$A$206,$C$2,F$147:F$206)</f>
        <v>0</v>
      </c>
      <c r="G28" s="196">
        <f>B28*F28</f>
        <v>0</v>
      </c>
      <c r="H28" s="187"/>
    </row>
    <row r="29" spans="1:8" ht="15">
      <c r="A29" s="127" t="s">
        <v>87</v>
      </c>
      <c r="B29" s="665">
        <f>C24*C29</f>
        <v>16960889.958935</v>
      </c>
      <c r="C29" s="394">
        <v>0.010613</v>
      </c>
      <c r="D29" s="340">
        <f>B29/B$35</f>
        <v>0.0037997193251454505</v>
      </c>
      <c r="F29" s="486">
        <f>SUMIF($A$219:$A$278,$C$2,B$219:B$278)</f>
        <v>0</v>
      </c>
      <c r="G29" s="196">
        <f>B29*F29</f>
        <v>0</v>
      </c>
      <c r="H29" s="187"/>
    </row>
    <row r="30" spans="1:8" ht="15.75" thickBot="1">
      <c r="A30" s="238" t="s">
        <v>105</v>
      </c>
      <c r="B30" s="666">
        <f>C24*C30</f>
        <v>98000159.62139</v>
      </c>
      <c r="C30" s="667">
        <v>0.061322</v>
      </c>
      <c r="D30" s="340">
        <f>B30/B$35</f>
        <v>0.021954809050840414</v>
      </c>
      <c r="F30" s="487">
        <f>SUMIF($A$219:$A$278,$C$2,F$219:F$278)</f>
        <v>0</v>
      </c>
      <c r="G30" s="335">
        <f>G31+G32</f>
        <v>0</v>
      </c>
      <c r="H30" s="187"/>
    </row>
    <row r="31" spans="1:8" ht="15" outlineLevel="1">
      <c r="A31" s="411" t="s">
        <v>160</v>
      </c>
      <c r="B31" s="412">
        <f>B30*C31</f>
        <v>92591530.81188549</v>
      </c>
      <c r="C31" s="382">
        <v>0.94481</v>
      </c>
      <c r="D31" s="340"/>
      <c r="F31" s="488">
        <f>SUMIF($A$291:$A$350,$C$2,B$291:B$350)</f>
        <v>0</v>
      </c>
      <c r="G31" s="410">
        <f>B31*F31</f>
        <v>0</v>
      </c>
      <c r="H31" s="187"/>
    </row>
    <row r="32" spans="1:8" ht="15.75" outlineLevel="1" thickBot="1">
      <c r="A32" s="411" t="s">
        <v>161</v>
      </c>
      <c r="B32" s="412">
        <f>B30*C32</f>
        <v>5408628.809504515</v>
      </c>
      <c r="C32" s="382">
        <v>0.05519</v>
      </c>
      <c r="D32" s="340"/>
      <c r="F32" s="488">
        <f>SUMIF($A$291:$A$350,$C$2,F$291:F$350)</f>
        <v>0</v>
      </c>
      <c r="G32" s="410">
        <f>B32*F32</f>
        <v>0</v>
      </c>
      <c r="H32" s="187"/>
    </row>
    <row r="33" spans="1:8" ht="15.75" thickBot="1">
      <c r="A33" s="215" t="s">
        <v>41</v>
      </c>
      <c r="B33" s="217">
        <f>SUM(B27:B30)</f>
        <v>1598123995</v>
      </c>
      <c r="C33" s="341">
        <f>SUM(C27:C30)</f>
        <v>0.9999999999999999</v>
      </c>
      <c r="D33" s="339">
        <f>SUM(D27:D30)</f>
        <v>0.3580250000137049</v>
      </c>
      <c r="F33" s="336"/>
      <c r="G33" s="337">
        <f>SUM(G27:G32)</f>
        <v>0</v>
      </c>
      <c r="H33" s="187"/>
    </row>
    <row r="34" ht="15.75" thickBot="1">
      <c r="H34" s="187"/>
    </row>
    <row r="35" spans="1:8" ht="15.75" thickBot="1">
      <c r="A35" s="137" t="s">
        <v>89</v>
      </c>
      <c r="B35" s="138">
        <f>+B20+B33</f>
        <v>4463721793</v>
      </c>
      <c r="C35" s="139"/>
      <c r="D35" s="202">
        <f>D20+D33</f>
        <v>1</v>
      </c>
      <c r="H35" s="187"/>
    </row>
    <row r="37" spans="1:7" ht="15.75">
      <c r="A37" s="678" t="s">
        <v>144</v>
      </c>
      <c r="B37" s="678"/>
      <c r="C37" s="678"/>
      <c r="D37" s="678"/>
      <c r="E37" s="678"/>
      <c r="F37" s="678"/>
      <c r="G37" s="678"/>
    </row>
    <row r="38" spans="1:7" ht="15">
      <c r="A38" s="677"/>
      <c r="B38" s="677"/>
      <c r="C38" s="677"/>
      <c r="D38" s="677"/>
      <c r="E38" s="677"/>
      <c r="F38" s="677"/>
      <c r="G38" s="677"/>
    </row>
    <row r="39" spans="1:7" ht="15">
      <c r="A39" t="s">
        <v>40</v>
      </c>
      <c r="B39"/>
      <c r="C39" s="40">
        <f>B11</f>
        <v>1812802957.3949819</v>
      </c>
      <c r="F39" s="2" t="s">
        <v>103</v>
      </c>
      <c r="G39" s="149">
        <f>+G11</f>
        <v>17676481.748337626</v>
      </c>
    </row>
    <row r="40" ht="15.75" thickBot="1"/>
    <row r="41" spans="1:7" ht="60.75" thickBot="1">
      <c r="A41" s="253" t="s">
        <v>37</v>
      </c>
      <c r="B41" s="254" t="s">
        <v>307</v>
      </c>
      <c r="C41" s="255" t="s">
        <v>39</v>
      </c>
      <c r="D41" s="15"/>
      <c r="E41" s="15"/>
      <c r="F41" s="250" t="str">
        <f>CONCATENATE(C2," County % Distribution ")</f>
        <v>San Mateo County % Distribution </v>
      </c>
      <c r="G41" s="249" t="str">
        <f>CONCATENATE(C2," County Portion (Distribution to Programs)")</f>
        <v>San Mateo County Portion (Distribution to Programs)</v>
      </c>
    </row>
    <row r="42" spans="1:7" ht="5.25" customHeight="1" thickBot="1">
      <c r="A42" s="210"/>
      <c r="B42" s="211"/>
      <c r="C42" s="204"/>
      <c r="F42" s="203"/>
      <c r="G42" s="204"/>
    </row>
    <row r="43" spans="1:7" ht="15">
      <c r="A43" s="212" t="s">
        <v>32</v>
      </c>
      <c r="B43" s="265">
        <v>0.22691593477</v>
      </c>
      <c r="C43" s="213">
        <f>ROUND(C$39*B43,0)</f>
        <v>411353878</v>
      </c>
      <c r="F43" s="268">
        <v>0.1397985698</v>
      </c>
      <c r="G43" s="213">
        <f>G$39*F43</f>
        <v>2471146.8675134038</v>
      </c>
    </row>
    <row r="44" spans="1:7" ht="15">
      <c r="A44" s="206" t="s">
        <v>33</v>
      </c>
      <c r="B44" s="266">
        <v>0.2329775465151818</v>
      </c>
      <c r="C44" s="207">
        <f aca="true" t="shared" si="1" ref="C44:C52">ROUND(C$39*B44,0)</f>
        <v>422342385</v>
      </c>
      <c r="F44" s="269">
        <v>0.1653025075</v>
      </c>
      <c r="G44" s="207">
        <f>G$39*F44</f>
        <v>2921966.7567781936</v>
      </c>
    </row>
    <row r="45" spans="1:7" ht="15">
      <c r="A45" s="206" t="s">
        <v>34</v>
      </c>
      <c r="B45" s="266">
        <v>0.03389982002182904</v>
      </c>
      <c r="C45" s="207">
        <f t="shared" si="1"/>
        <v>61453694</v>
      </c>
      <c r="F45" s="269">
        <v>0.0698448805</v>
      </c>
      <c r="G45" s="207">
        <f aca="true" t="shared" si="2" ref="G45:G52">G$39*F45</f>
        <v>1234611.7553730726</v>
      </c>
    </row>
    <row r="46" spans="1:7" ht="15">
      <c r="A46" s="206" t="s">
        <v>35</v>
      </c>
      <c r="B46" s="266">
        <v>0.008052070425712658</v>
      </c>
      <c r="C46" s="207">
        <f t="shared" si="1"/>
        <v>14596817</v>
      </c>
      <c r="F46" s="269">
        <v>0.0123841763</v>
      </c>
      <c r="G46" s="207">
        <f t="shared" si="2"/>
        <v>218908.66633514542</v>
      </c>
    </row>
    <row r="47" spans="1:7" ht="15">
      <c r="A47" s="206" t="s">
        <v>30</v>
      </c>
      <c r="B47" s="266">
        <v>0.0327991876549578</v>
      </c>
      <c r="C47" s="207">
        <f t="shared" si="1"/>
        <v>59458464</v>
      </c>
      <c r="F47" s="269">
        <v>0.0686299199</v>
      </c>
      <c r="G47" s="207">
        <f t="shared" si="2"/>
        <v>1213135.5265022232</v>
      </c>
    </row>
    <row r="48" spans="1:7" ht="15">
      <c r="A48" s="206" t="s">
        <v>36</v>
      </c>
      <c r="B48" s="266">
        <v>0.3994674505491578</v>
      </c>
      <c r="C48" s="207">
        <f>ROUND(C$39*B48,0)</f>
        <v>724155776</v>
      </c>
      <c r="F48" s="269">
        <v>0.489365119</v>
      </c>
      <c r="G48" s="207">
        <f t="shared" si="2"/>
        <v>8650253.594276572</v>
      </c>
    </row>
    <row r="49" spans="1:7" ht="15">
      <c r="A49" s="206" t="s">
        <v>28</v>
      </c>
      <c r="B49" s="266">
        <v>0.02317577627420125</v>
      </c>
      <c r="C49" s="207">
        <f t="shared" si="1"/>
        <v>42013116</v>
      </c>
      <c r="F49" s="269">
        <v>0.0257732782</v>
      </c>
      <c r="G49" s="207">
        <f t="shared" si="2"/>
        <v>455580.881697128</v>
      </c>
    </row>
    <row r="50" spans="1:7" ht="15">
      <c r="A50" s="208" t="s">
        <v>29</v>
      </c>
      <c r="B50" s="266">
        <v>0.023042800193349238</v>
      </c>
      <c r="C50" s="207">
        <f t="shared" si="1"/>
        <v>41772056</v>
      </c>
      <c r="F50" s="269">
        <v>0.0289015488</v>
      </c>
      <c r="G50" s="207">
        <f t="shared" si="2"/>
        <v>510877.69986188924</v>
      </c>
    </row>
    <row r="51" spans="1:7" ht="15">
      <c r="A51" s="670" t="s">
        <v>31</v>
      </c>
      <c r="B51" s="669">
        <v>0.0196694136</v>
      </c>
      <c r="C51" s="668">
        <f t="shared" si="1"/>
        <v>35656771</v>
      </c>
      <c r="F51" s="269">
        <v>0</v>
      </c>
      <c r="G51" s="207">
        <f t="shared" si="2"/>
        <v>0</v>
      </c>
    </row>
    <row r="52" spans="1:7" ht="15.75" thickBot="1">
      <c r="A52" s="378"/>
      <c r="B52" s="267"/>
      <c r="C52" s="209">
        <f t="shared" si="1"/>
        <v>0</v>
      </c>
      <c r="F52" s="375">
        <v>0</v>
      </c>
      <c r="G52" s="209">
        <f t="shared" si="2"/>
        <v>0</v>
      </c>
    </row>
    <row r="53" spans="1:7" ht="15.75" thickBot="1">
      <c r="A53" s="218" t="s">
        <v>102</v>
      </c>
      <c r="B53" s="237">
        <f>SUM(B43:B52)</f>
        <v>1.0000000000043896</v>
      </c>
      <c r="C53" s="220">
        <f>SUM(C43:C52)</f>
        <v>1812802957</v>
      </c>
      <c r="F53" s="205">
        <f>SUM(F43:F51)</f>
        <v>1</v>
      </c>
      <c r="G53" s="220">
        <f>SUM(G43:G51)</f>
        <v>17676481.748337626</v>
      </c>
    </row>
    <row r="55" ht="8.25" customHeight="1"/>
    <row r="56" spans="1:7" ht="15">
      <c r="A56" t="s">
        <v>43</v>
      </c>
      <c r="B56"/>
      <c r="C56" s="40">
        <f>B12</f>
        <v>1047690840.605018</v>
      </c>
      <c r="F56" s="2" t="s">
        <v>103</v>
      </c>
      <c r="G56" s="149">
        <f>G12</f>
        <v>8422398.57454826</v>
      </c>
    </row>
    <row r="57" ht="15.75" thickBot="1"/>
    <row r="58" spans="1:7" ht="75.75" thickBot="1">
      <c r="A58" s="253" t="s">
        <v>37</v>
      </c>
      <c r="B58" s="254" t="s">
        <v>308</v>
      </c>
      <c r="C58" s="255" t="s">
        <v>39</v>
      </c>
      <c r="D58" s="15"/>
      <c r="E58" s="15"/>
      <c r="F58" s="250" t="str">
        <f>CONCATENATE(C2," County % Distribution (PROG/TOT PS) per BH Spreadsheet")</f>
        <v>San Mateo County % Distribution (PROG/TOT PS) per BH Spreadsheet</v>
      </c>
      <c r="G58" s="249" t="str">
        <f>CONCATENATE(C2," County Portion (Distribution to Programs)")</f>
        <v>San Mateo County Portion (Distribution to Programs)</v>
      </c>
    </row>
    <row r="59" spans="1:7" ht="4.5" customHeight="1" thickBot="1">
      <c r="A59" s="225"/>
      <c r="B59" s="226"/>
      <c r="C59" s="227"/>
      <c r="F59" s="150"/>
      <c r="G59" s="151"/>
    </row>
    <row r="60" spans="1:7" ht="15">
      <c r="A60" s="228" t="s">
        <v>44</v>
      </c>
      <c r="B60" s="271">
        <v>0.1860292278185457</v>
      </c>
      <c r="C60" s="234">
        <f>ROUND(C56*B60,0)</f>
        <v>194901118</v>
      </c>
      <c r="F60" s="273">
        <v>0.2029597891992356</v>
      </c>
      <c r="G60" s="213">
        <f>F60*G56</f>
        <v>1709408.239242257</v>
      </c>
    </row>
    <row r="61" spans="1:7" ht="15.75" thickBot="1">
      <c r="A61" s="229" t="s">
        <v>45</v>
      </c>
      <c r="B61" s="272">
        <v>0.8139707721814543</v>
      </c>
      <c r="C61" s="230">
        <f>ROUND(C56*B61,0)</f>
        <v>852789723</v>
      </c>
      <c r="F61" s="270">
        <v>0.7970402108007644</v>
      </c>
      <c r="G61" s="209">
        <f>F61*G56</f>
        <v>6712990.335306002</v>
      </c>
    </row>
    <row r="62" spans="1:7" ht="15.75" thickBot="1">
      <c r="A62" s="218" t="s">
        <v>102</v>
      </c>
      <c r="B62" s="219">
        <f>SUM(B60:B61)</f>
        <v>1</v>
      </c>
      <c r="C62" s="220">
        <f>SUM(C60:C61)</f>
        <v>1047690841</v>
      </c>
      <c r="F62" s="235">
        <f>SUM(F60:F61)</f>
        <v>1</v>
      </c>
      <c r="G62" s="236">
        <f>SUM(G60:G61)</f>
        <v>8422398.57454826</v>
      </c>
    </row>
    <row r="65" spans="1:7" ht="15">
      <c r="A65" s="676" t="s">
        <v>145</v>
      </c>
      <c r="B65" s="676"/>
      <c r="C65" s="676"/>
      <c r="D65" s="676"/>
      <c r="E65" s="676"/>
      <c r="F65" s="676"/>
      <c r="G65" s="676"/>
    </row>
    <row r="66" spans="1:7" ht="15">
      <c r="A66" s="677"/>
      <c r="B66" s="677"/>
      <c r="C66" s="677"/>
      <c r="D66" s="677"/>
      <c r="E66" s="677"/>
      <c r="F66" s="677"/>
      <c r="G66" s="677"/>
    </row>
    <row r="67" spans="1:7" ht="15">
      <c r="A67" s="358"/>
      <c r="B67" s="358"/>
      <c r="C67" s="358"/>
      <c r="D67" s="358"/>
      <c r="E67" s="358"/>
      <c r="F67" s="358"/>
      <c r="G67" s="358"/>
    </row>
    <row r="68" spans="2:7" ht="15">
      <c r="B68" s="372" t="s">
        <v>142</v>
      </c>
      <c r="C68" s="376">
        <f>B11</f>
        <v>1812802957.3949819</v>
      </c>
      <c r="D68" s="358"/>
      <c r="E68" s="358"/>
      <c r="F68" s="323" t="s">
        <v>84</v>
      </c>
      <c r="G68" s="373">
        <f>B12</f>
        <v>1047690840.605018</v>
      </c>
    </row>
    <row r="69" spans="1:6" ht="15.75" thickBot="1">
      <c r="A69" s="358"/>
      <c r="B69" s="358"/>
      <c r="C69" s="358"/>
      <c r="D69" s="358"/>
      <c r="E69" s="358"/>
      <c r="F69" s="374" t="s">
        <v>143</v>
      </c>
    </row>
    <row r="70" spans="1:7" ht="15.75" thickBot="1">
      <c r="A70" s="358"/>
      <c r="B70" s="672" t="s">
        <v>83</v>
      </c>
      <c r="C70" s="673"/>
      <c r="D70" s="358"/>
      <c r="E70" s="358"/>
      <c r="F70" s="672" t="s">
        <v>84</v>
      </c>
      <c r="G70" s="673"/>
    </row>
    <row r="71" spans="1:7" ht="6" customHeight="1" thickBot="1">
      <c r="A71" s="358"/>
      <c r="B71" s="365"/>
      <c r="C71" s="366"/>
      <c r="D71" s="358"/>
      <c r="E71" s="358"/>
      <c r="F71" s="365"/>
      <c r="G71" s="366"/>
    </row>
    <row r="72" spans="1:7" ht="15">
      <c r="A72" s="377"/>
      <c r="B72" s="491" t="s">
        <v>304</v>
      </c>
      <c r="C72" s="360"/>
      <c r="F72" s="491" t="s">
        <v>281</v>
      </c>
      <c r="G72" s="360"/>
    </row>
    <row r="73" spans="1:7" ht="15">
      <c r="A73" s="369" t="s">
        <v>183</v>
      </c>
      <c r="B73" s="359">
        <v>0.0397371719</v>
      </c>
      <c r="C73" s="360">
        <f aca="true" t="shared" si="3" ref="C73:C131">C$68*B73</f>
        <v>72035662.73883277</v>
      </c>
      <c r="F73" s="359">
        <v>0.05458476278108932</v>
      </c>
      <c r="G73" s="360">
        <f>G$68*F73</f>
        <v>57187956.00234497</v>
      </c>
    </row>
    <row r="74" spans="1:7" ht="15">
      <c r="A74" s="357" t="s">
        <v>184</v>
      </c>
      <c r="B74" s="359">
        <v>0.0003836368</v>
      </c>
      <c r="C74" s="360">
        <f t="shared" si="3"/>
        <v>695457.9256055473</v>
      </c>
      <c r="F74" s="359">
        <v>9.737742765298564E-05</v>
      </c>
      <c r="G74" s="360">
        <f aca="true" t="shared" si="4" ref="G74:G131">G$68*F74</f>
        <v>102021.43903371085</v>
      </c>
    </row>
    <row r="75" spans="1:7" ht="15">
      <c r="A75" s="357" t="s">
        <v>185</v>
      </c>
      <c r="B75" s="359">
        <v>0.0007986001</v>
      </c>
      <c r="C75" s="360">
        <f t="shared" si="3"/>
        <v>1447704.6230559284</v>
      </c>
      <c r="F75" s="359">
        <v>0.00046239888619045846</v>
      </c>
      <c r="G75" s="360">
        <f t="shared" si="4"/>
        <v>484451.0777677055</v>
      </c>
    </row>
    <row r="76" spans="1:7" ht="15">
      <c r="A76" s="357" t="s">
        <v>186</v>
      </c>
      <c r="B76" s="359">
        <v>0.0087019732</v>
      </c>
      <c r="C76" s="360">
        <f t="shared" si="3"/>
        <v>15774962.752131872</v>
      </c>
      <c r="F76" s="359">
        <v>0.011128020815201188</v>
      </c>
      <c r="G76" s="360">
        <f t="shared" si="4"/>
        <v>11658725.482148271</v>
      </c>
    </row>
    <row r="77" spans="1:7" ht="15">
      <c r="A77" s="357" t="s">
        <v>187</v>
      </c>
      <c r="B77" s="359">
        <v>0.0012507742</v>
      </c>
      <c r="C77" s="360">
        <f t="shared" si="3"/>
        <v>2267407.1687933425</v>
      </c>
      <c r="F77" s="359">
        <v>0.0008968229145634285</v>
      </c>
      <c r="G77" s="360">
        <f t="shared" si="4"/>
        <v>939593.1532328007</v>
      </c>
    </row>
    <row r="78" spans="1:7" ht="15">
      <c r="A78" s="357" t="s">
        <v>188</v>
      </c>
      <c r="B78" s="359">
        <v>0.0007625789</v>
      </c>
      <c r="C78" s="360">
        <f t="shared" si="3"/>
        <v>1382405.2851670121</v>
      </c>
      <c r="F78" s="359">
        <v>0.0012606528665501163</v>
      </c>
      <c r="G78" s="360">
        <f t="shared" si="4"/>
        <v>1320774.461467017</v>
      </c>
    </row>
    <row r="79" spans="1:7" ht="15">
      <c r="A79" s="357" t="s">
        <v>189</v>
      </c>
      <c r="B79" s="359">
        <v>0.0224162397</v>
      </c>
      <c r="C79" s="360">
        <f t="shared" si="3"/>
        <v>40636225.6218348</v>
      </c>
      <c r="F79" s="359">
        <v>0.022868844918800767</v>
      </c>
      <c r="G79" s="360">
        <f t="shared" si="4"/>
        <v>23959479.356644172</v>
      </c>
    </row>
    <row r="80" spans="1:7" ht="15">
      <c r="A80" s="357" t="s">
        <v>190</v>
      </c>
      <c r="B80" s="359">
        <v>0.0020205924</v>
      </c>
      <c r="C80" s="360">
        <f t="shared" si="3"/>
        <v>3662935.8784098243</v>
      </c>
      <c r="F80" s="359">
        <v>0.0011086016201186943</v>
      </c>
      <c r="G80" s="360">
        <f t="shared" si="4"/>
        <v>1161471.7632782396</v>
      </c>
    </row>
    <row r="81" spans="1:7" ht="15">
      <c r="A81" s="357" t="s">
        <v>191</v>
      </c>
      <c r="B81" s="359">
        <v>0.003633854</v>
      </c>
      <c r="C81" s="360">
        <f t="shared" si="3"/>
        <v>6587461.277941585</v>
      </c>
      <c r="F81" s="359">
        <v>0.0031068826651717467</v>
      </c>
      <c r="G81" s="360">
        <f t="shared" si="4"/>
        <v>3255052.5111349463</v>
      </c>
    </row>
    <row r="82" spans="1:7" ht="15">
      <c r="A82" s="357" t="s">
        <v>192</v>
      </c>
      <c r="B82" s="359">
        <v>0.0238868826</v>
      </c>
      <c r="C82" s="360">
        <f t="shared" si="3"/>
        <v>43302211.42022673</v>
      </c>
      <c r="F82" s="359">
        <v>0.02993320339663993</v>
      </c>
      <c r="G82" s="360">
        <f t="shared" si="4"/>
        <v>31360743.02862667</v>
      </c>
    </row>
    <row r="83" spans="1:7" ht="15">
      <c r="A83" s="357" t="s">
        <v>193</v>
      </c>
      <c r="B83" s="359">
        <v>0.0014136737</v>
      </c>
      <c r="C83" s="360">
        <f t="shared" si="3"/>
        <v>2562711.8641515067</v>
      </c>
      <c r="F83" s="359">
        <v>0.0009952332866060714</v>
      </c>
      <c r="G83" s="360">
        <f t="shared" si="4"/>
        <v>1042696.7986424098</v>
      </c>
    </row>
    <row r="84" spans="1:7" ht="15">
      <c r="A84" s="357" t="s">
        <v>194</v>
      </c>
      <c r="B84" s="359">
        <v>0.0057094331</v>
      </c>
      <c r="C84" s="360">
        <f t="shared" si="3"/>
        <v>10350077.2087288</v>
      </c>
      <c r="F84" s="359">
        <v>0.004921435091423468</v>
      </c>
      <c r="G84" s="360">
        <f t="shared" si="4"/>
        <v>5156142.467916487</v>
      </c>
    </row>
    <row r="85" spans="1:7" ht="15">
      <c r="A85" s="357" t="s">
        <v>195</v>
      </c>
      <c r="B85" s="359">
        <v>0.0042667678</v>
      </c>
      <c r="C85" s="360">
        <f t="shared" si="3"/>
        <v>7734809.28635768</v>
      </c>
      <c r="F85" s="359">
        <v>0.006111371084002517</v>
      </c>
      <c r="G85" s="360">
        <f t="shared" si="4"/>
        <v>6402827.508247797</v>
      </c>
    </row>
    <row r="86" spans="1:7" ht="15">
      <c r="A86" s="357" t="s">
        <v>196</v>
      </c>
      <c r="B86" s="359">
        <v>0.0007223209</v>
      </c>
      <c r="C86" s="360">
        <f t="shared" si="3"/>
        <v>1309425.463708205</v>
      </c>
      <c r="F86" s="359">
        <v>0.0005336578665724027</v>
      </c>
      <c r="G86" s="360">
        <f t="shared" si="4"/>
        <v>559108.4588247212</v>
      </c>
    </row>
    <row r="87" spans="1:7" ht="15">
      <c r="A87" s="357" t="s">
        <v>197</v>
      </c>
      <c r="B87" s="359">
        <v>0.0289933987</v>
      </c>
      <c r="C87" s="360">
        <f t="shared" si="3"/>
        <v>52559318.908291824</v>
      </c>
      <c r="F87" s="359">
        <v>0.023415285185902388</v>
      </c>
      <c r="G87" s="360">
        <f t="shared" si="4"/>
        <v>24531979.819424298</v>
      </c>
    </row>
    <row r="88" spans="1:7" ht="15">
      <c r="A88" s="357" t="s">
        <v>198</v>
      </c>
      <c r="B88" s="359">
        <v>0.0036916275</v>
      </c>
      <c r="C88" s="360">
        <f t="shared" si="3"/>
        <v>6692193.249600643</v>
      </c>
      <c r="F88" s="359">
        <v>0.0017037357983620898</v>
      </c>
      <c r="G88" s="360">
        <f t="shared" si="4"/>
        <v>1784988.3907548394</v>
      </c>
    </row>
    <row r="89" spans="1:7" ht="15">
      <c r="A89" s="357" t="s">
        <v>199</v>
      </c>
      <c r="B89" s="359">
        <v>0.0024765458</v>
      </c>
      <c r="C89" s="360">
        <f t="shared" si="3"/>
        <v>4489489.550364121</v>
      </c>
      <c r="F89" s="359">
        <v>0.002511594241181609</v>
      </c>
      <c r="G89" s="360">
        <f t="shared" si="4"/>
        <v>2631374.2818022827</v>
      </c>
    </row>
    <row r="90" spans="1:7" ht="15">
      <c r="A90" s="357" t="s">
        <v>200</v>
      </c>
      <c r="B90" s="359">
        <v>0.0018123206</v>
      </c>
      <c r="C90" s="360">
        <f t="shared" si="3"/>
        <v>3285380.143427848</v>
      </c>
      <c r="F90" s="359">
        <v>0.001183177280460982</v>
      </c>
      <c r="G90" s="360">
        <f t="shared" si="4"/>
        <v>1239603.9995509253</v>
      </c>
    </row>
    <row r="91" spans="1:7" ht="15">
      <c r="A91" s="357" t="s">
        <v>201</v>
      </c>
      <c r="B91" s="359">
        <v>0.3166682184</v>
      </c>
      <c r="C91" s="360">
        <f t="shared" si="3"/>
        <v>574057082.8285199</v>
      </c>
      <c r="F91" s="359">
        <v>0.3842272226086044</v>
      </c>
      <c r="G91" s="360">
        <f t="shared" si="4"/>
        <v>402551341.83814013</v>
      </c>
    </row>
    <row r="92" spans="1:7" ht="15">
      <c r="A92" s="357" t="s">
        <v>202</v>
      </c>
      <c r="B92" s="359">
        <v>0.0031878378</v>
      </c>
      <c r="C92" s="360">
        <f t="shared" si="3"/>
        <v>5778921.791535513</v>
      </c>
      <c r="F92" s="359">
        <v>0.0026342759874983354</v>
      </c>
      <c r="G92" s="360">
        <f t="shared" si="4"/>
        <v>2759906.823727745</v>
      </c>
    </row>
    <row r="93" spans="1:7" ht="15">
      <c r="A93" s="357" t="s">
        <v>203</v>
      </c>
      <c r="B93" s="359">
        <v>0.0031883025</v>
      </c>
      <c r="C93" s="360">
        <f t="shared" si="3"/>
        <v>5779764.201069814</v>
      </c>
      <c r="F93" s="359">
        <v>0.0035937187111847557</v>
      </c>
      <c r="G93" s="360">
        <f t="shared" si="4"/>
        <v>3765106.1774191386</v>
      </c>
    </row>
    <row r="94" spans="1:7" ht="15">
      <c r="A94" s="357" t="s">
        <v>204</v>
      </c>
      <c r="B94" s="359">
        <v>0.0008987193</v>
      </c>
      <c r="C94" s="360">
        <f t="shared" si="3"/>
        <v>1629201.004907948</v>
      </c>
      <c r="F94" s="359">
        <v>0.0008199633424702754</v>
      </c>
      <c r="G94" s="360">
        <f t="shared" si="4"/>
        <v>859068.0835379831</v>
      </c>
    </row>
    <row r="95" spans="1:7" ht="15">
      <c r="A95" s="357" t="s">
        <v>205</v>
      </c>
      <c r="B95" s="359">
        <v>0.0050483175</v>
      </c>
      <c r="C95" s="360">
        <f t="shared" si="3"/>
        <v>9151604.893868841</v>
      </c>
      <c r="F95" s="359">
        <v>0.0068848743038209485</v>
      </c>
      <c r="G95" s="360">
        <f t="shared" si="4"/>
        <v>7213219.746830057</v>
      </c>
    </row>
    <row r="96" spans="1:7" ht="15">
      <c r="A96" s="357" t="s">
        <v>206</v>
      </c>
      <c r="B96" s="359">
        <v>0.0070440714</v>
      </c>
      <c r="C96" s="360">
        <f t="shared" si="3"/>
        <v>12769513.46602141</v>
      </c>
      <c r="F96" s="359">
        <v>0.005888052488630647</v>
      </c>
      <c r="G96" s="360">
        <f t="shared" si="4"/>
        <v>6168858.661339911</v>
      </c>
    </row>
    <row r="97" spans="1:7" ht="15">
      <c r="A97" s="357" t="s">
        <v>207</v>
      </c>
      <c r="B97" s="359">
        <v>0.0004808706</v>
      </c>
      <c r="C97" s="360">
        <f t="shared" si="3"/>
        <v>871723.6458042994</v>
      </c>
      <c r="F97" s="359">
        <v>0.0004749458219104025</v>
      </c>
      <c r="G97" s="360">
        <f t="shared" si="4"/>
        <v>497596.38739915076</v>
      </c>
    </row>
    <row r="98" spans="1:7" ht="15">
      <c r="A98" s="357" t="s">
        <v>208</v>
      </c>
      <c r="B98" s="359">
        <v>0.0005093074</v>
      </c>
      <c r="C98" s="360">
        <f t="shared" si="3"/>
        <v>923273.9609431489</v>
      </c>
      <c r="F98" s="359">
        <v>0.0002594833649917824</v>
      </c>
      <c r="G98" s="360">
        <f t="shared" si="4"/>
        <v>271858.3447912592</v>
      </c>
    </row>
    <row r="99" spans="1:7" ht="15">
      <c r="A99" s="357" t="s">
        <v>209</v>
      </c>
      <c r="B99" s="359">
        <v>0.0082244244</v>
      </c>
      <c r="C99" s="360">
        <f t="shared" si="3"/>
        <v>14909260.875191448</v>
      </c>
      <c r="F99" s="359">
        <v>0.009113647560685556</v>
      </c>
      <c r="G99" s="360">
        <f t="shared" si="4"/>
        <v>9548285.073832523</v>
      </c>
    </row>
    <row r="100" spans="1:7" ht="15">
      <c r="A100" s="357" t="s">
        <v>210</v>
      </c>
      <c r="B100" s="359">
        <v>0.0028711531</v>
      </c>
      <c r="C100" s="360">
        <f t="shared" si="3"/>
        <v>5204834.83081377</v>
      </c>
      <c r="F100" s="359">
        <v>0.003587183131263431</v>
      </c>
      <c r="G100" s="360">
        <f t="shared" si="4"/>
        <v>3758258.910197525</v>
      </c>
    </row>
    <row r="101" spans="1:7" ht="15">
      <c r="A101" s="357" t="s">
        <v>211</v>
      </c>
      <c r="B101" s="359">
        <v>0.0017063999</v>
      </c>
      <c r="C101" s="360">
        <f t="shared" si="3"/>
        <v>3093366.7852185015</v>
      </c>
      <c r="F101" s="359">
        <v>0.003654901242407215</v>
      </c>
      <c r="G101" s="360">
        <f t="shared" si="4"/>
        <v>3829206.5549859395</v>
      </c>
    </row>
    <row r="102" spans="1:7" ht="15">
      <c r="A102" s="357" t="s">
        <v>212</v>
      </c>
      <c r="B102" s="359">
        <v>0.0504807703</v>
      </c>
      <c r="C102" s="360">
        <f t="shared" si="3"/>
        <v>91511689.69141676</v>
      </c>
      <c r="F102" s="359">
        <v>0.03397812192475488</v>
      </c>
      <c r="G102" s="360">
        <f t="shared" si="4"/>
        <v>35598567.12152623</v>
      </c>
    </row>
    <row r="103" spans="1:7" ht="15">
      <c r="A103" s="357" t="s">
        <v>213</v>
      </c>
      <c r="B103" s="359">
        <v>0.0083005533</v>
      </c>
      <c r="C103" s="360">
        <f t="shared" si="3"/>
        <v>15047267.570254674</v>
      </c>
      <c r="F103" s="359">
        <v>0.0037217529875206152</v>
      </c>
      <c r="G103" s="360">
        <f t="shared" si="4"/>
        <v>3899246.5160197103</v>
      </c>
    </row>
    <row r="104" spans="1:7" ht="15">
      <c r="A104" s="357" t="s">
        <v>214</v>
      </c>
      <c r="B104" s="359">
        <v>0.0009865016</v>
      </c>
      <c r="C104" s="360">
        <f t="shared" si="3"/>
        <v>1788333.0179548815</v>
      </c>
      <c r="F104" s="359">
        <v>0.0008653153798861046</v>
      </c>
      <c r="G104" s="360">
        <f t="shared" si="4"/>
        <v>906582.9977413234</v>
      </c>
    </row>
    <row r="105" spans="1:7" ht="15">
      <c r="A105" s="357" t="s">
        <v>215</v>
      </c>
      <c r="B105" s="359">
        <v>0.054149198</v>
      </c>
      <c r="C105" s="360">
        <f t="shared" si="3"/>
        <v>98161826.27496645</v>
      </c>
      <c r="F105" s="359">
        <v>0.03000466868401152</v>
      </c>
      <c r="G105" s="360">
        <f t="shared" si="4"/>
        <v>31435616.55562709</v>
      </c>
    </row>
    <row r="106" spans="1:7" ht="15">
      <c r="A106" s="357" t="s">
        <v>216</v>
      </c>
      <c r="B106" s="359">
        <v>0.0508710489</v>
      </c>
      <c r="C106" s="360">
        <f t="shared" si="3"/>
        <v>92219187.89170474</v>
      </c>
      <c r="F106" s="359">
        <v>0.05541565731085765</v>
      </c>
      <c r="G106" s="360">
        <f t="shared" si="4"/>
        <v>58058476.590692066</v>
      </c>
    </row>
    <row r="107" spans="1:7" ht="15">
      <c r="A107" s="357" t="s">
        <v>217</v>
      </c>
      <c r="B107" s="359">
        <v>0.0011194975</v>
      </c>
      <c r="C107" s="360">
        <f t="shared" si="3"/>
        <v>2029428.3787962887</v>
      </c>
      <c r="F107" s="359">
        <v>0.0008684925251446558</v>
      </c>
      <c r="G107" s="360">
        <f t="shared" si="4"/>
        <v>909911.6637279793</v>
      </c>
    </row>
    <row r="108" spans="1:7" ht="15">
      <c r="A108" s="357" t="s">
        <v>218</v>
      </c>
      <c r="B108" s="359">
        <v>0.0539472518</v>
      </c>
      <c r="C108" s="360">
        <f t="shared" si="3"/>
        <v>97795737.60637176</v>
      </c>
      <c r="F108" s="359">
        <v>0.03679543863554552</v>
      </c>
      <c r="G108" s="360">
        <f t="shared" si="4"/>
        <v>38550244.03450504</v>
      </c>
    </row>
    <row r="109" spans="1:7" ht="15">
      <c r="A109" s="357" t="s">
        <v>219</v>
      </c>
      <c r="B109" s="359">
        <v>0.0700079319</v>
      </c>
      <c r="C109" s="360">
        <f t="shared" si="3"/>
        <v>126910585.9894265</v>
      </c>
      <c r="F109" s="359">
        <v>0.05021108129191206</v>
      </c>
      <c r="G109" s="360">
        <f t="shared" si="4"/>
        <v>52605689.96641024</v>
      </c>
    </row>
    <row r="110" spans="1:7" ht="15">
      <c r="A110" s="357" t="s">
        <v>220</v>
      </c>
      <c r="B110" s="359">
        <v>0.0218177265</v>
      </c>
      <c r="C110" s="360">
        <f t="shared" si="3"/>
        <v>39551239.12283486</v>
      </c>
      <c r="F110" s="359">
        <v>0.026168224602194118</v>
      </c>
      <c r="G110" s="360">
        <f t="shared" si="4"/>
        <v>27416209.230613668</v>
      </c>
    </row>
    <row r="111" spans="1:7" ht="15">
      <c r="A111" s="357" t="s">
        <v>221</v>
      </c>
      <c r="B111" s="359">
        <v>0.0197252672</v>
      </c>
      <c r="C111" s="360">
        <f t="shared" si="3"/>
        <v>35758022.71556623</v>
      </c>
      <c r="F111" s="359">
        <v>0.01699403457287652</v>
      </c>
      <c r="G111" s="360">
        <f t="shared" si="4"/>
        <v>17804494.36692774</v>
      </c>
    </row>
    <row r="112" spans="1:7" ht="15">
      <c r="A112" s="357" t="s">
        <v>222</v>
      </c>
      <c r="B112" s="359">
        <v>0.0078144535</v>
      </c>
      <c r="C112" s="360">
        <f t="shared" si="3"/>
        <v>14166064.415225567</v>
      </c>
      <c r="F112" s="359">
        <v>0.00874877206742641</v>
      </c>
      <c r="G112" s="360">
        <f t="shared" si="4"/>
        <v>9166008.361583676</v>
      </c>
    </row>
    <row r="113" spans="1:7" ht="15">
      <c r="A113" s="369" t="s">
        <v>182</v>
      </c>
      <c r="B113" s="370">
        <v>0.0097509118</v>
      </c>
      <c r="C113" s="360">
        <f t="shared" si="3"/>
        <v>17676481.748337626</v>
      </c>
      <c r="D113" s="371"/>
      <c r="E113" s="371"/>
      <c r="F113" s="370">
        <v>0.008039011364921843</v>
      </c>
      <c r="G113" s="360">
        <f t="shared" si="4"/>
        <v>8422398.57454826</v>
      </c>
    </row>
    <row r="114" spans="1:7" ht="15">
      <c r="A114" s="369" t="s">
        <v>223</v>
      </c>
      <c r="B114" s="370">
        <v>0.0075862225</v>
      </c>
      <c r="C114" s="360">
        <f t="shared" si="3"/>
        <v>13752326.583456352</v>
      </c>
      <c r="D114" s="371"/>
      <c r="E114" s="371"/>
      <c r="F114" s="370">
        <v>0.011227588162479527</v>
      </c>
      <c r="G114" s="360">
        <f t="shared" si="4"/>
        <v>11763041.279915124</v>
      </c>
    </row>
    <row r="115" spans="1:7" ht="15">
      <c r="A115" s="369" t="s">
        <v>224</v>
      </c>
      <c r="B115" s="370">
        <v>0.0368337186</v>
      </c>
      <c r="C115" s="360">
        <f t="shared" si="3"/>
        <v>66772274.00993455</v>
      </c>
      <c r="D115" s="371"/>
      <c r="E115" s="371"/>
      <c r="F115" s="370">
        <v>0.03623852357589962</v>
      </c>
      <c r="G115" s="360">
        <f t="shared" si="4"/>
        <v>37966769.227519035</v>
      </c>
    </row>
    <row r="116" spans="1:7" ht="15">
      <c r="A116" s="369" t="s">
        <v>225</v>
      </c>
      <c r="B116" s="370">
        <v>0.0058146685</v>
      </c>
      <c r="C116" s="360">
        <f t="shared" si="3"/>
        <v>10540848.253071442</v>
      </c>
      <c r="D116" s="371"/>
      <c r="E116" s="371"/>
      <c r="F116" s="370">
        <v>0.01060107876087326</v>
      </c>
      <c r="G116" s="360">
        <f t="shared" si="4"/>
        <v>11106653.11829931</v>
      </c>
    </row>
    <row r="117" spans="1:7" ht="15">
      <c r="A117" s="357" t="s">
        <v>226</v>
      </c>
      <c r="B117" s="359">
        <v>0.006860985</v>
      </c>
      <c r="C117" s="360">
        <f t="shared" si="3"/>
        <v>12437613.898642609</v>
      </c>
      <c r="F117" s="359">
        <v>0.004778920301902801</v>
      </c>
      <c r="G117" s="360">
        <f t="shared" si="4"/>
        <v>5006831.0282849325</v>
      </c>
    </row>
    <row r="118" spans="1:7" ht="15">
      <c r="A118" s="357" t="s">
        <v>227</v>
      </c>
      <c r="B118" s="359">
        <v>0.0003924926</v>
      </c>
      <c r="C118" s="360">
        <f t="shared" si="3"/>
        <v>711511.7460356457</v>
      </c>
      <c r="F118" s="359">
        <v>0.0001346929181122374</v>
      </c>
      <c r="G118" s="360">
        <f t="shared" si="4"/>
        <v>141116.53660055285</v>
      </c>
    </row>
    <row r="119" spans="1:7" ht="15">
      <c r="A119" s="357" t="s">
        <v>228</v>
      </c>
      <c r="B119" s="359">
        <v>0.001769292</v>
      </c>
      <c r="C119" s="360">
        <f t="shared" si="3"/>
        <v>3207377.7700952822</v>
      </c>
      <c r="F119" s="359">
        <v>0.0018416391597867153</v>
      </c>
      <c r="G119" s="360">
        <f t="shared" si="4"/>
        <v>1929468.4794080628</v>
      </c>
    </row>
    <row r="120" spans="1:7" ht="15">
      <c r="A120" s="357" t="s">
        <v>229</v>
      </c>
      <c r="B120" s="359">
        <v>0.006422133</v>
      </c>
      <c r="C120" s="360">
        <f t="shared" si="3"/>
        <v>11642061.695183907</v>
      </c>
      <c r="F120" s="359">
        <v>0.010395359420215399</v>
      </c>
      <c r="G120" s="360">
        <f t="shared" si="4"/>
        <v>10891122.849356763</v>
      </c>
    </row>
    <row r="121" spans="1:7" ht="15">
      <c r="A121" s="357" t="s">
        <v>230</v>
      </c>
      <c r="B121" s="359">
        <v>0.0117190825</v>
      </c>
      <c r="C121" s="360">
        <f t="shared" si="3"/>
        <v>21244387.413955778</v>
      </c>
      <c r="F121" s="359">
        <v>0.007889818201444748</v>
      </c>
      <c r="G121" s="360">
        <f t="shared" si="4"/>
        <v>8266090.263692419</v>
      </c>
    </row>
    <row r="122" spans="1:7" ht="15">
      <c r="A122" s="357" t="s">
        <v>231</v>
      </c>
      <c r="B122" s="359">
        <v>0.0107430585</v>
      </c>
      <c r="C122" s="360">
        <f t="shared" si="3"/>
        <v>19475048.220267296</v>
      </c>
      <c r="F122" s="359">
        <v>0.01168966076297842</v>
      </c>
      <c r="G122" s="360">
        <f t="shared" si="4"/>
        <v>12247150.511152357</v>
      </c>
    </row>
    <row r="123" spans="1:7" ht="15">
      <c r="A123" s="357" t="s">
        <v>232</v>
      </c>
      <c r="B123" s="359">
        <v>0.0031741412</v>
      </c>
      <c r="C123" s="360">
        <f t="shared" si="3"/>
        <v>5754092.554549257</v>
      </c>
      <c r="F123" s="359">
        <v>0.007492203057426227</v>
      </c>
      <c r="G123" s="360">
        <f t="shared" si="4"/>
        <v>7849512.51921837</v>
      </c>
    </row>
    <row r="124" spans="1:7" ht="15">
      <c r="A124" s="357" t="s">
        <v>233</v>
      </c>
      <c r="B124" s="359">
        <v>0.0030245338</v>
      </c>
      <c r="C124" s="360">
        <f t="shared" si="3"/>
        <v>5482883.817381083</v>
      </c>
      <c r="F124" s="359">
        <v>0.0019451561143185648</v>
      </c>
      <c r="G124" s="360">
        <f t="shared" si="4"/>
        <v>2037922.2445184076</v>
      </c>
    </row>
    <row r="125" spans="1:7" ht="15">
      <c r="A125" s="357" t="s">
        <v>234</v>
      </c>
      <c r="B125" s="359">
        <v>0.0010877412</v>
      </c>
      <c r="C125" s="360">
        <f t="shared" si="3"/>
        <v>1971860.4642403664</v>
      </c>
      <c r="F125" s="359">
        <v>0.0006785211378795488</v>
      </c>
      <c r="G125" s="360">
        <f t="shared" si="4"/>
        <v>710880.3813132978</v>
      </c>
    </row>
    <row r="126" spans="1:7" ht="15">
      <c r="A126" s="357" t="s">
        <v>235</v>
      </c>
      <c r="B126" s="359">
        <v>0.0117757277</v>
      </c>
      <c r="C126" s="360">
        <f t="shared" si="3"/>
        <v>21347074.00003801</v>
      </c>
      <c r="F126" s="359">
        <v>0.01595320532739675</v>
      </c>
      <c r="G126" s="360">
        <f t="shared" si="4"/>
        <v>16714027.099804753</v>
      </c>
    </row>
    <row r="127" spans="1:7" ht="15">
      <c r="A127" s="357" t="s">
        <v>236</v>
      </c>
      <c r="B127" s="359">
        <v>0.0017435176</v>
      </c>
      <c r="C127" s="360">
        <f t="shared" si="3"/>
        <v>3160653.861550201</v>
      </c>
      <c r="F127" s="359">
        <v>0.0010230331094156929</v>
      </c>
      <c r="G127" s="360">
        <f t="shared" si="4"/>
        <v>1071822.4183704928</v>
      </c>
    </row>
    <row r="128" spans="1:7" ht="15">
      <c r="A128" s="357" t="s">
        <v>237</v>
      </c>
      <c r="B128" s="359">
        <v>0.0112398632</v>
      </c>
      <c r="C128" s="360">
        <f t="shared" si="3"/>
        <v>20375657.249675024</v>
      </c>
      <c r="F128" s="359">
        <v>0.014754682312891742</v>
      </c>
      <c r="G128" s="360">
        <f t="shared" si="4"/>
        <v>15458345.51525354</v>
      </c>
    </row>
    <row r="129" spans="1:7" ht="15">
      <c r="A129" s="357" t="s">
        <v>238</v>
      </c>
      <c r="B129" s="359">
        <v>0.0050661409</v>
      </c>
      <c r="C129" s="360">
        <f t="shared" si="3"/>
        <v>9183915.206099676</v>
      </c>
      <c r="F129" s="359">
        <v>0.0035840196399687546</v>
      </c>
      <c r="G129" s="360">
        <f t="shared" si="4"/>
        <v>3754944.5493437587</v>
      </c>
    </row>
    <row r="130" spans="1:7" ht="15">
      <c r="A130" s="357" t="s">
        <v>239</v>
      </c>
      <c r="B130" s="359">
        <v>0.0036001411</v>
      </c>
      <c r="C130" s="360">
        <f t="shared" si="3"/>
        <v>6526346.4331192225</v>
      </c>
      <c r="F130" s="359">
        <v>0</v>
      </c>
      <c r="G130" s="360">
        <f t="shared" si="4"/>
        <v>0</v>
      </c>
    </row>
    <row r="131" spans="1:7" ht="15">
      <c r="A131" s="357" t="s">
        <v>140</v>
      </c>
      <c r="B131" s="363">
        <v>0.0196694136</v>
      </c>
      <c r="C131" s="364">
        <f t="shared" si="3"/>
        <v>35656771.14430508</v>
      </c>
      <c r="F131" s="359">
        <v>0</v>
      </c>
      <c r="G131" s="360">
        <f t="shared" si="4"/>
        <v>0</v>
      </c>
    </row>
    <row r="132" spans="1:7" ht="15.75" thickBot="1">
      <c r="A132" s="357" t="s">
        <v>141</v>
      </c>
      <c r="B132" s="361">
        <f>SUM(B72:B131)</f>
        <v>1</v>
      </c>
      <c r="C132" s="362">
        <f>SUM(C72:C131)</f>
        <v>1812802957.3949816</v>
      </c>
      <c r="F132" s="367">
        <f>SUM(F72:F131)</f>
        <v>0.9999999999999998</v>
      </c>
      <c r="G132" s="368">
        <f>SUM(G72:G131)</f>
        <v>1047690840.6050179</v>
      </c>
    </row>
    <row r="136" ht="15" hidden="1"/>
    <row r="137" spans="1:7" ht="15.75" hidden="1">
      <c r="A137" s="678" t="s">
        <v>158</v>
      </c>
      <c r="B137" s="678"/>
      <c r="C137" s="678"/>
      <c r="D137" s="678"/>
      <c r="E137" s="678"/>
      <c r="F137" s="678"/>
      <c r="G137" s="678"/>
    </row>
    <row r="138" ht="15" hidden="1"/>
    <row r="139" spans="1:7" ht="15" hidden="1">
      <c r="A139" s="676" t="s">
        <v>146</v>
      </c>
      <c r="B139" s="676"/>
      <c r="C139" s="676"/>
      <c r="D139" s="676"/>
      <c r="E139" s="676"/>
      <c r="F139" s="676"/>
      <c r="G139" s="676"/>
    </row>
    <row r="140" spans="1:7" ht="15" customHeight="1" hidden="1">
      <c r="A140" s="677" t="s">
        <v>244</v>
      </c>
      <c r="B140" s="677"/>
      <c r="C140" s="677"/>
      <c r="D140" s="677"/>
      <c r="E140" s="677"/>
      <c r="F140" s="677"/>
      <c r="G140" s="677"/>
    </row>
    <row r="141" spans="1:7" ht="15" hidden="1">
      <c r="A141" s="358"/>
      <c r="B141" s="358"/>
      <c r="C141" s="358"/>
      <c r="D141" s="358"/>
      <c r="E141" s="358"/>
      <c r="F141" s="358"/>
      <c r="G141" s="358"/>
    </row>
    <row r="142" spans="2:7" ht="15" hidden="1">
      <c r="B142" s="372" t="s">
        <v>85</v>
      </c>
      <c r="C142" s="376">
        <f>B27</f>
        <v>492389993.479475</v>
      </c>
      <c r="D142" s="358"/>
      <c r="E142" s="358"/>
      <c r="F142" s="323" t="s">
        <v>86</v>
      </c>
      <c r="G142" s="373">
        <f>B28</f>
        <v>990772951.9402</v>
      </c>
    </row>
    <row r="143" spans="1:6" ht="15.75" hidden="1" thickBot="1">
      <c r="A143" s="358"/>
      <c r="B143" s="358"/>
      <c r="C143" s="358"/>
      <c r="D143" s="358"/>
      <c r="E143" s="358"/>
      <c r="F143" s="374"/>
    </row>
    <row r="144" spans="1:7" ht="15.75" hidden="1" thickBot="1">
      <c r="A144" s="358"/>
      <c r="B144" s="672" t="s">
        <v>85</v>
      </c>
      <c r="C144" s="673"/>
      <c r="D144" s="358"/>
      <c r="E144" s="358"/>
      <c r="F144" s="672" t="s">
        <v>86</v>
      </c>
      <c r="G144" s="673"/>
    </row>
    <row r="145" spans="1:7" ht="6" customHeight="1" hidden="1" thickBot="1">
      <c r="A145" s="358"/>
      <c r="B145" s="365"/>
      <c r="C145" s="366"/>
      <c r="D145" s="358"/>
      <c r="E145" s="358"/>
      <c r="F145" s="365"/>
      <c r="G145" s="366"/>
    </row>
    <row r="146" spans="1:7" ht="15" hidden="1">
      <c r="A146" s="377"/>
      <c r="B146" s="491" t="s">
        <v>280</v>
      </c>
      <c r="C146" s="360"/>
      <c r="F146" s="491" t="s">
        <v>280</v>
      </c>
      <c r="G146" s="360"/>
    </row>
    <row r="147" spans="1:7" ht="15" hidden="1">
      <c r="A147" s="369" t="s">
        <v>183</v>
      </c>
      <c r="B147" s="359"/>
      <c r="C147" s="360">
        <f>C$142*B147</f>
        <v>0</v>
      </c>
      <c r="F147" s="359"/>
      <c r="G147" s="360">
        <f>G$142*F147</f>
        <v>0</v>
      </c>
    </row>
    <row r="148" spans="1:7" ht="15" hidden="1">
      <c r="A148" s="357" t="s">
        <v>184</v>
      </c>
      <c r="B148" s="359"/>
      <c r="C148" s="360">
        <f aca="true" t="shared" si="5" ref="C148:C205">C$142*B148</f>
        <v>0</v>
      </c>
      <c r="F148" s="359"/>
      <c r="G148" s="360">
        <f aca="true" t="shared" si="6" ref="G148:G205">G$142*F148</f>
        <v>0</v>
      </c>
    </row>
    <row r="149" spans="1:7" ht="15" hidden="1">
      <c r="A149" s="357" t="s">
        <v>185</v>
      </c>
      <c r="B149" s="359"/>
      <c r="C149" s="360">
        <f t="shared" si="5"/>
        <v>0</v>
      </c>
      <c r="F149" s="359"/>
      <c r="G149" s="360">
        <f t="shared" si="6"/>
        <v>0</v>
      </c>
    </row>
    <row r="150" spans="1:7" ht="15" hidden="1">
      <c r="A150" s="357" t="s">
        <v>186</v>
      </c>
      <c r="B150" s="359"/>
      <c r="C150" s="360">
        <f t="shared" si="5"/>
        <v>0</v>
      </c>
      <c r="F150" s="359"/>
      <c r="G150" s="360">
        <f t="shared" si="6"/>
        <v>0</v>
      </c>
    </row>
    <row r="151" spans="1:7" ht="15" hidden="1">
      <c r="A151" s="357" t="s">
        <v>187</v>
      </c>
      <c r="B151" s="359"/>
      <c r="C151" s="360">
        <f t="shared" si="5"/>
        <v>0</v>
      </c>
      <c r="F151" s="359"/>
      <c r="G151" s="360">
        <f t="shared" si="6"/>
        <v>0</v>
      </c>
    </row>
    <row r="152" spans="1:7" ht="15" hidden="1">
      <c r="A152" s="357" t="s">
        <v>188</v>
      </c>
      <c r="B152" s="359"/>
      <c r="C152" s="360">
        <f t="shared" si="5"/>
        <v>0</v>
      </c>
      <c r="F152" s="359"/>
      <c r="G152" s="360">
        <f t="shared" si="6"/>
        <v>0</v>
      </c>
    </row>
    <row r="153" spans="1:7" ht="15" hidden="1">
      <c r="A153" s="357" t="s">
        <v>189</v>
      </c>
      <c r="B153" s="359"/>
      <c r="C153" s="360">
        <f t="shared" si="5"/>
        <v>0</v>
      </c>
      <c r="F153" s="359"/>
      <c r="G153" s="360">
        <f t="shared" si="6"/>
        <v>0</v>
      </c>
    </row>
    <row r="154" spans="1:7" ht="15" hidden="1">
      <c r="A154" s="357" t="s">
        <v>190</v>
      </c>
      <c r="B154" s="359"/>
      <c r="C154" s="360">
        <f t="shared" si="5"/>
        <v>0</v>
      </c>
      <c r="F154" s="359"/>
      <c r="G154" s="360">
        <f t="shared" si="6"/>
        <v>0</v>
      </c>
    </row>
    <row r="155" spans="1:7" ht="15" hidden="1">
      <c r="A155" s="357" t="s">
        <v>191</v>
      </c>
      <c r="B155" s="359"/>
      <c r="C155" s="360">
        <f t="shared" si="5"/>
        <v>0</v>
      </c>
      <c r="F155" s="359"/>
      <c r="G155" s="360">
        <f t="shared" si="6"/>
        <v>0</v>
      </c>
    </row>
    <row r="156" spans="1:7" ht="15" hidden="1">
      <c r="A156" s="357" t="s">
        <v>192</v>
      </c>
      <c r="B156" s="359"/>
      <c r="C156" s="360">
        <f t="shared" si="5"/>
        <v>0</v>
      </c>
      <c r="F156" s="359"/>
      <c r="G156" s="360">
        <f t="shared" si="6"/>
        <v>0</v>
      </c>
    </row>
    <row r="157" spans="1:7" ht="15" hidden="1">
      <c r="A157" s="357" t="s">
        <v>193</v>
      </c>
      <c r="B157" s="359"/>
      <c r="C157" s="360">
        <f t="shared" si="5"/>
        <v>0</v>
      </c>
      <c r="F157" s="359"/>
      <c r="G157" s="360">
        <f t="shared" si="6"/>
        <v>0</v>
      </c>
    </row>
    <row r="158" spans="1:7" ht="15" hidden="1">
      <c r="A158" s="357" t="s">
        <v>194</v>
      </c>
      <c r="B158" s="359"/>
      <c r="C158" s="360">
        <f t="shared" si="5"/>
        <v>0</v>
      </c>
      <c r="F158" s="359"/>
      <c r="G158" s="360">
        <f t="shared" si="6"/>
        <v>0</v>
      </c>
    </row>
    <row r="159" spans="1:7" ht="15" hidden="1">
      <c r="A159" s="357" t="s">
        <v>195</v>
      </c>
      <c r="B159" s="359"/>
      <c r="C159" s="360">
        <f t="shared" si="5"/>
        <v>0</v>
      </c>
      <c r="F159" s="359"/>
      <c r="G159" s="360">
        <f t="shared" si="6"/>
        <v>0</v>
      </c>
    </row>
    <row r="160" spans="1:7" ht="15" hidden="1">
      <c r="A160" s="357" t="s">
        <v>196</v>
      </c>
      <c r="B160" s="359"/>
      <c r="C160" s="360">
        <f t="shared" si="5"/>
        <v>0</v>
      </c>
      <c r="F160" s="359"/>
      <c r="G160" s="360">
        <f t="shared" si="6"/>
        <v>0</v>
      </c>
    </row>
    <row r="161" spans="1:7" ht="15" hidden="1">
      <c r="A161" s="357" t="s">
        <v>197</v>
      </c>
      <c r="B161" s="359"/>
      <c r="C161" s="360">
        <f t="shared" si="5"/>
        <v>0</v>
      </c>
      <c r="F161" s="359"/>
      <c r="G161" s="360">
        <f t="shared" si="6"/>
        <v>0</v>
      </c>
    </row>
    <row r="162" spans="1:7" ht="15" hidden="1">
      <c r="A162" s="357" t="s">
        <v>198</v>
      </c>
      <c r="B162" s="359"/>
      <c r="C162" s="360">
        <f t="shared" si="5"/>
        <v>0</v>
      </c>
      <c r="F162" s="359"/>
      <c r="G162" s="360">
        <f t="shared" si="6"/>
        <v>0</v>
      </c>
    </row>
    <row r="163" spans="1:7" ht="15" hidden="1">
      <c r="A163" s="357" t="s">
        <v>199</v>
      </c>
      <c r="B163" s="359"/>
      <c r="C163" s="360">
        <f t="shared" si="5"/>
        <v>0</v>
      </c>
      <c r="F163" s="359"/>
      <c r="G163" s="360">
        <f t="shared" si="6"/>
        <v>0</v>
      </c>
    </row>
    <row r="164" spans="1:7" ht="15" hidden="1">
      <c r="A164" s="357" t="s">
        <v>200</v>
      </c>
      <c r="B164" s="359"/>
      <c r="C164" s="360">
        <f t="shared" si="5"/>
        <v>0</v>
      </c>
      <c r="F164" s="359"/>
      <c r="G164" s="360">
        <f t="shared" si="6"/>
        <v>0</v>
      </c>
    </row>
    <row r="165" spans="1:7" ht="15" hidden="1">
      <c r="A165" s="357" t="s">
        <v>201</v>
      </c>
      <c r="B165" s="359"/>
      <c r="C165" s="360">
        <f t="shared" si="5"/>
        <v>0</v>
      </c>
      <c r="F165" s="359"/>
      <c r="G165" s="360">
        <f t="shared" si="6"/>
        <v>0</v>
      </c>
    </row>
    <row r="166" spans="1:7" ht="15" hidden="1">
      <c r="A166" s="357" t="s">
        <v>202</v>
      </c>
      <c r="B166" s="359"/>
      <c r="C166" s="360">
        <f t="shared" si="5"/>
        <v>0</v>
      </c>
      <c r="F166" s="359"/>
      <c r="G166" s="360">
        <f t="shared" si="6"/>
        <v>0</v>
      </c>
    </row>
    <row r="167" spans="1:7" ht="15" hidden="1">
      <c r="A167" s="357" t="s">
        <v>203</v>
      </c>
      <c r="B167" s="359"/>
      <c r="C167" s="360">
        <f t="shared" si="5"/>
        <v>0</v>
      </c>
      <c r="F167" s="359"/>
      <c r="G167" s="360">
        <f t="shared" si="6"/>
        <v>0</v>
      </c>
    </row>
    <row r="168" spans="1:7" ht="15" hidden="1">
      <c r="A168" s="357" t="s">
        <v>204</v>
      </c>
      <c r="B168" s="359"/>
      <c r="C168" s="360">
        <f t="shared" si="5"/>
        <v>0</v>
      </c>
      <c r="F168" s="359"/>
      <c r="G168" s="360">
        <f t="shared" si="6"/>
        <v>0</v>
      </c>
    </row>
    <row r="169" spans="1:7" ht="15" hidden="1">
      <c r="A169" s="357" t="s">
        <v>205</v>
      </c>
      <c r="B169" s="359"/>
      <c r="C169" s="360">
        <f t="shared" si="5"/>
        <v>0</v>
      </c>
      <c r="F169" s="359"/>
      <c r="G169" s="360">
        <f t="shared" si="6"/>
        <v>0</v>
      </c>
    </row>
    <row r="170" spans="1:7" ht="15" hidden="1">
      <c r="A170" s="357" t="s">
        <v>206</v>
      </c>
      <c r="B170" s="359"/>
      <c r="C170" s="360">
        <f t="shared" si="5"/>
        <v>0</v>
      </c>
      <c r="F170" s="359"/>
      <c r="G170" s="360">
        <f t="shared" si="6"/>
        <v>0</v>
      </c>
    </row>
    <row r="171" spans="1:7" ht="15" hidden="1">
      <c r="A171" s="357" t="s">
        <v>207</v>
      </c>
      <c r="B171" s="359"/>
      <c r="C171" s="360">
        <f t="shared" si="5"/>
        <v>0</v>
      </c>
      <c r="F171" s="359"/>
      <c r="G171" s="360">
        <f t="shared" si="6"/>
        <v>0</v>
      </c>
    </row>
    <row r="172" spans="1:7" ht="15" hidden="1">
      <c r="A172" s="357" t="s">
        <v>208</v>
      </c>
      <c r="B172" s="359"/>
      <c r="C172" s="360">
        <f t="shared" si="5"/>
        <v>0</v>
      </c>
      <c r="F172" s="359"/>
      <c r="G172" s="360">
        <f t="shared" si="6"/>
        <v>0</v>
      </c>
    </row>
    <row r="173" spans="1:7" ht="15" hidden="1">
      <c r="A173" s="357" t="s">
        <v>209</v>
      </c>
      <c r="B173" s="359"/>
      <c r="C173" s="360">
        <f t="shared" si="5"/>
        <v>0</v>
      </c>
      <c r="F173" s="359"/>
      <c r="G173" s="360">
        <f t="shared" si="6"/>
        <v>0</v>
      </c>
    </row>
    <row r="174" spans="1:7" ht="15" hidden="1">
      <c r="A174" s="357" t="s">
        <v>210</v>
      </c>
      <c r="B174" s="359"/>
      <c r="C174" s="360">
        <f t="shared" si="5"/>
        <v>0</v>
      </c>
      <c r="F174" s="359"/>
      <c r="G174" s="360">
        <f t="shared" si="6"/>
        <v>0</v>
      </c>
    </row>
    <row r="175" spans="1:7" ht="15" hidden="1">
      <c r="A175" s="357" t="s">
        <v>211</v>
      </c>
      <c r="B175" s="359"/>
      <c r="C175" s="360">
        <f t="shared" si="5"/>
        <v>0</v>
      </c>
      <c r="F175" s="359"/>
      <c r="G175" s="360">
        <f t="shared" si="6"/>
        <v>0</v>
      </c>
    </row>
    <row r="176" spans="1:7" ht="15" hidden="1">
      <c r="A176" s="357" t="s">
        <v>212</v>
      </c>
      <c r="B176" s="359"/>
      <c r="C176" s="360">
        <f t="shared" si="5"/>
        <v>0</v>
      </c>
      <c r="F176" s="359"/>
      <c r="G176" s="360">
        <f t="shared" si="6"/>
        <v>0</v>
      </c>
    </row>
    <row r="177" spans="1:7" ht="15" hidden="1">
      <c r="A177" s="357" t="s">
        <v>213</v>
      </c>
      <c r="B177" s="359"/>
      <c r="C177" s="360">
        <f t="shared" si="5"/>
        <v>0</v>
      </c>
      <c r="F177" s="359"/>
      <c r="G177" s="360">
        <f t="shared" si="6"/>
        <v>0</v>
      </c>
    </row>
    <row r="178" spans="1:7" ht="15" hidden="1">
      <c r="A178" s="357" t="s">
        <v>214</v>
      </c>
      <c r="B178" s="359"/>
      <c r="C178" s="360">
        <f t="shared" si="5"/>
        <v>0</v>
      </c>
      <c r="F178" s="359"/>
      <c r="G178" s="360">
        <f t="shared" si="6"/>
        <v>0</v>
      </c>
    </row>
    <row r="179" spans="1:7" ht="15" hidden="1">
      <c r="A179" s="357" t="s">
        <v>215</v>
      </c>
      <c r="B179" s="359"/>
      <c r="C179" s="360">
        <f t="shared" si="5"/>
        <v>0</v>
      </c>
      <c r="F179" s="359"/>
      <c r="G179" s="360">
        <f t="shared" si="6"/>
        <v>0</v>
      </c>
    </row>
    <row r="180" spans="1:7" ht="15" hidden="1">
      <c r="A180" s="357" t="s">
        <v>216</v>
      </c>
      <c r="B180" s="359"/>
      <c r="C180" s="360">
        <f t="shared" si="5"/>
        <v>0</v>
      </c>
      <c r="F180" s="359"/>
      <c r="G180" s="360">
        <f t="shared" si="6"/>
        <v>0</v>
      </c>
    </row>
    <row r="181" spans="1:7" ht="15" hidden="1">
      <c r="A181" s="357" t="s">
        <v>217</v>
      </c>
      <c r="B181" s="359"/>
      <c r="C181" s="360">
        <f t="shared" si="5"/>
        <v>0</v>
      </c>
      <c r="F181" s="359"/>
      <c r="G181" s="360">
        <f t="shared" si="6"/>
        <v>0</v>
      </c>
    </row>
    <row r="182" spans="1:7" ht="15" hidden="1">
      <c r="A182" s="357" t="s">
        <v>218</v>
      </c>
      <c r="B182" s="359"/>
      <c r="C182" s="360">
        <f t="shared" si="5"/>
        <v>0</v>
      </c>
      <c r="F182" s="359"/>
      <c r="G182" s="360">
        <f t="shared" si="6"/>
        <v>0</v>
      </c>
    </row>
    <row r="183" spans="1:7" ht="15" hidden="1">
      <c r="A183" s="357" t="s">
        <v>219</v>
      </c>
      <c r="B183" s="359"/>
      <c r="C183" s="360">
        <f t="shared" si="5"/>
        <v>0</v>
      </c>
      <c r="F183" s="359"/>
      <c r="G183" s="360">
        <f t="shared" si="6"/>
        <v>0</v>
      </c>
    </row>
    <row r="184" spans="1:7" ht="15" hidden="1">
      <c r="A184" s="357" t="s">
        <v>220</v>
      </c>
      <c r="B184" s="359"/>
      <c r="C184" s="360">
        <f t="shared" si="5"/>
        <v>0</v>
      </c>
      <c r="F184" s="359"/>
      <c r="G184" s="360">
        <f t="shared" si="6"/>
        <v>0</v>
      </c>
    </row>
    <row r="185" spans="1:7" ht="15" hidden="1">
      <c r="A185" s="357" t="s">
        <v>221</v>
      </c>
      <c r="B185" s="359"/>
      <c r="C185" s="360">
        <f t="shared" si="5"/>
        <v>0</v>
      </c>
      <c r="F185" s="359"/>
      <c r="G185" s="360">
        <f t="shared" si="6"/>
        <v>0</v>
      </c>
    </row>
    <row r="186" spans="1:7" ht="15" hidden="1">
      <c r="A186" s="357" t="s">
        <v>222</v>
      </c>
      <c r="B186" s="359"/>
      <c r="C186" s="360">
        <f t="shared" si="5"/>
        <v>0</v>
      </c>
      <c r="F186" s="359"/>
      <c r="G186" s="360">
        <f t="shared" si="6"/>
        <v>0</v>
      </c>
    </row>
    <row r="187" spans="1:7" ht="15" hidden="1">
      <c r="A187" s="369" t="s">
        <v>182</v>
      </c>
      <c r="B187" s="370"/>
      <c r="C187" s="360">
        <f t="shared" si="5"/>
        <v>0</v>
      </c>
      <c r="D187" s="371"/>
      <c r="E187" s="371"/>
      <c r="F187" s="370"/>
      <c r="G187" s="360">
        <f t="shared" si="6"/>
        <v>0</v>
      </c>
    </row>
    <row r="188" spans="1:7" ht="15" hidden="1">
      <c r="A188" s="369" t="s">
        <v>223</v>
      </c>
      <c r="B188" s="370"/>
      <c r="C188" s="360">
        <f t="shared" si="5"/>
        <v>0</v>
      </c>
      <c r="D188" s="371"/>
      <c r="E188" s="371"/>
      <c r="F188" s="370"/>
      <c r="G188" s="360">
        <f t="shared" si="6"/>
        <v>0</v>
      </c>
    </row>
    <row r="189" spans="1:7" ht="15" hidden="1">
      <c r="A189" s="369" t="s">
        <v>224</v>
      </c>
      <c r="B189" s="370"/>
      <c r="C189" s="360">
        <f t="shared" si="5"/>
        <v>0</v>
      </c>
      <c r="D189" s="371"/>
      <c r="E189" s="371"/>
      <c r="F189" s="370"/>
      <c r="G189" s="360">
        <f t="shared" si="6"/>
        <v>0</v>
      </c>
    </row>
    <row r="190" spans="1:7" ht="15" hidden="1">
      <c r="A190" s="369" t="s">
        <v>225</v>
      </c>
      <c r="B190" s="370"/>
      <c r="C190" s="360">
        <f t="shared" si="5"/>
        <v>0</v>
      </c>
      <c r="D190" s="371"/>
      <c r="E190" s="371"/>
      <c r="F190" s="370"/>
      <c r="G190" s="360">
        <f t="shared" si="6"/>
        <v>0</v>
      </c>
    </row>
    <row r="191" spans="1:7" ht="15" hidden="1">
      <c r="A191" s="357" t="s">
        <v>226</v>
      </c>
      <c r="B191" s="359"/>
      <c r="C191" s="360">
        <f t="shared" si="5"/>
        <v>0</v>
      </c>
      <c r="F191" s="359"/>
      <c r="G191" s="360">
        <f t="shared" si="6"/>
        <v>0</v>
      </c>
    </row>
    <row r="192" spans="1:7" ht="15" hidden="1">
      <c r="A192" s="357" t="s">
        <v>227</v>
      </c>
      <c r="B192" s="359"/>
      <c r="C192" s="360">
        <f t="shared" si="5"/>
        <v>0</v>
      </c>
      <c r="F192" s="359"/>
      <c r="G192" s="360">
        <f t="shared" si="6"/>
        <v>0</v>
      </c>
    </row>
    <row r="193" spans="1:7" ht="15" hidden="1">
      <c r="A193" s="357" t="s">
        <v>228</v>
      </c>
      <c r="B193" s="359"/>
      <c r="C193" s="360">
        <f t="shared" si="5"/>
        <v>0</v>
      </c>
      <c r="F193" s="359"/>
      <c r="G193" s="360">
        <f t="shared" si="6"/>
        <v>0</v>
      </c>
    </row>
    <row r="194" spans="1:7" ht="15" hidden="1">
      <c r="A194" s="357" t="s">
        <v>229</v>
      </c>
      <c r="B194" s="359"/>
      <c r="C194" s="360">
        <f t="shared" si="5"/>
        <v>0</v>
      </c>
      <c r="F194" s="359"/>
      <c r="G194" s="360">
        <f t="shared" si="6"/>
        <v>0</v>
      </c>
    </row>
    <row r="195" spans="1:7" ht="15" hidden="1">
      <c r="A195" s="357" t="s">
        <v>230</v>
      </c>
      <c r="B195" s="359"/>
      <c r="C195" s="360">
        <f t="shared" si="5"/>
        <v>0</v>
      </c>
      <c r="F195" s="359"/>
      <c r="G195" s="360">
        <f t="shared" si="6"/>
        <v>0</v>
      </c>
    </row>
    <row r="196" spans="1:7" ht="15" hidden="1">
      <c r="A196" s="357" t="s">
        <v>231</v>
      </c>
      <c r="B196" s="359"/>
      <c r="C196" s="360">
        <f t="shared" si="5"/>
        <v>0</v>
      </c>
      <c r="F196" s="359"/>
      <c r="G196" s="360">
        <f t="shared" si="6"/>
        <v>0</v>
      </c>
    </row>
    <row r="197" spans="1:7" ht="15" hidden="1">
      <c r="A197" s="357" t="s">
        <v>232</v>
      </c>
      <c r="B197" s="359"/>
      <c r="C197" s="360">
        <f t="shared" si="5"/>
        <v>0</v>
      </c>
      <c r="F197" s="359"/>
      <c r="G197" s="360">
        <f t="shared" si="6"/>
        <v>0</v>
      </c>
    </row>
    <row r="198" spans="1:7" ht="15" hidden="1">
      <c r="A198" s="357" t="s">
        <v>233</v>
      </c>
      <c r="B198" s="359"/>
      <c r="C198" s="360">
        <f t="shared" si="5"/>
        <v>0</v>
      </c>
      <c r="F198" s="359"/>
      <c r="G198" s="360">
        <f t="shared" si="6"/>
        <v>0</v>
      </c>
    </row>
    <row r="199" spans="1:7" ht="15" hidden="1">
      <c r="A199" s="357" t="s">
        <v>234</v>
      </c>
      <c r="B199" s="359"/>
      <c r="C199" s="360">
        <f t="shared" si="5"/>
        <v>0</v>
      </c>
      <c r="F199" s="359"/>
      <c r="G199" s="360">
        <f t="shared" si="6"/>
        <v>0</v>
      </c>
    </row>
    <row r="200" spans="1:7" ht="15" hidden="1">
      <c r="A200" s="357" t="s">
        <v>235</v>
      </c>
      <c r="B200" s="359"/>
      <c r="C200" s="360">
        <f t="shared" si="5"/>
        <v>0</v>
      </c>
      <c r="F200" s="359"/>
      <c r="G200" s="360">
        <f t="shared" si="6"/>
        <v>0</v>
      </c>
    </row>
    <row r="201" spans="1:7" ht="15" hidden="1">
      <c r="A201" s="357" t="s">
        <v>236</v>
      </c>
      <c r="B201" s="359"/>
      <c r="C201" s="360">
        <f t="shared" si="5"/>
        <v>0</v>
      </c>
      <c r="F201" s="359"/>
      <c r="G201" s="360">
        <f t="shared" si="6"/>
        <v>0</v>
      </c>
    </row>
    <row r="202" spans="1:7" ht="15" hidden="1">
      <c r="A202" s="357" t="s">
        <v>237</v>
      </c>
      <c r="B202" s="359"/>
      <c r="C202" s="360">
        <f t="shared" si="5"/>
        <v>0</v>
      </c>
      <c r="F202" s="359"/>
      <c r="G202" s="360">
        <f t="shared" si="6"/>
        <v>0</v>
      </c>
    </row>
    <row r="203" spans="1:7" ht="15" hidden="1">
      <c r="A203" s="357" t="s">
        <v>238</v>
      </c>
      <c r="B203" s="359"/>
      <c r="C203" s="360">
        <f t="shared" si="5"/>
        <v>0</v>
      </c>
      <c r="F203" s="359"/>
      <c r="G203" s="360">
        <f t="shared" si="6"/>
        <v>0</v>
      </c>
    </row>
    <row r="204" spans="1:7" ht="15" hidden="1">
      <c r="A204" s="357" t="s">
        <v>239</v>
      </c>
      <c r="B204" s="359"/>
      <c r="C204" s="360">
        <f t="shared" si="5"/>
        <v>0</v>
      </c>
      <c r="F204" s="359"/>
      <c r="G204" s="360">
        <f t="shared" si="6"/>
        <v>0</v>
      </c>
    </row>
    <row r="205" spans="1:7" ht="15" hidden="1">
      <c r="A205" s="357" t="s">
        <v>140</v>
      </c>
      <c r="B205" s="363"/>
      <c r="C205" s="364">
        <f t="shared" si="5"/>
        <v>0</v>
      </c>
      <c r="F205" s="359"/>
      <c r="G205" s="360">
        <f t="shared" si="6"/>
        <v>0</v>
      </c>
    </row>
    <row r="206" spans="1:7" ht="15.75" hidden="1" thickBot="1">
      <c r="A206" s="357" t="s">
        <v>141</v>
      </c>
      <c r="B206" s="361">
        <f>SUM(B147:B205)</f>
        <v>0</v>
      </c>
      <c r="C206" s="362">
        <f>SUM(C147:C205)</f>
        <v>0</v>
      </c>
      <c r="F206" s="367">
        <f>SUM(F147:F205)</f>
        <v>0</v>
      </c>
      <c r="G206" s="368">
        <f>SUM(G147:G205)</f>
        <v>0</v>
      </c>
    </row>
    <row r="207" ht="15" hidden="1"/>
    <row r="208" ht="15" hidden="1"/>
    <row r="209" ht="15" hidden="1"/>
    <row r="210" ht="15" hidden="1"/>
    <row r="211" spans="1:7" ht="15" hidden="1">
      <c r="A211" s="676" t="s">
        <v>146</v>
      </c>
      <c r="B211" s="676"/>
      <c r="C211" s="676"/>
      <c r="D211" s="676"/>
      <c r="E211" s="676"/>
      <c r="F211" s="676"/>
      <c r="G211" s="676"/>
    </row>
    <row r="212" spans="1:7" ht="15" customHeight="1" hidden="1">
      <c r="A212" s="677" t="s">
        <v>244</v>
      </c>
      <c r="B212" s="677"/>
      <c r="C212" s="677"/>
      <c r="D212" s="677"/>
      <c r="E212" s="677"/>
      <c r="F212" s="677"/>
      <c r="G212" s="677"/>
    </row>
    <row r="213" spans="1:7" ht="15" hidden="1">
      <c r="A213" s="358"/>
      <c r="B213" s="358"/>
      <c r="C213" s="358"/>
      <c r="D213" s="358"/>
      <c r="E213" s="358"/>
      <c r="F213" s="358"/>
      <c r="G213" s="358"/>
    </row>
    <row r="214" spans="2:7" ht="15" hidden="1">
      <c r="B214" s="372" t="s">
        <v>157</v>
      </c>
      <c r="C214" s="376">
        <f>B29</f>
        <v>16960889.958935</v>
      </c>
      <c r="D214" s="358"/>
      <c r="E214" s="358"/>
      <c r="F214" s="323" t="s">
        <v>105</v>
      </c>
      <c r="G214" s="373">
        <f>B30</f>
        <v>98000159.62139</v>
      </c>
    </row>
    <row r="215" spans="1:6" ht="15.75" hidden="1" thickBot="1">
      <c r="A215" s="358"/>
      <c r="B215" s="358"/>
      <c r="C215" s="358"/>
      <c r="D215" s="358"/>
      <c r="E215" s="358"/>
      <c r="F215" s="419"/>
    </row>
    <row r="216" spans="1:7" ht="15.75" hidden="1" thickBot="1">
      <c r="A216" s="358"/>
      <c r="B216" s="672" t="s">
        <v>156</v>
      </c>
      <c r="C216" s="673"/>
      <c r="D216" s="358"/>
      <c r="E216" s="358"/>
      <c r="F216" s="674" t="s">
        <v>105</v>
      </c>
      <c r="G216" s="675"/>
    </row>
    <row r="217" spans="1:7" ht="6" customHeight="1" hidden="1" thickBot="1">
      <c r="A217" s="358"/>
      <c r="B217" s="365"/>
      <c r="C217" s="366"/>
      <c r="D217" s="358"/>
      <c r="E217" s="358"/>
      <c r="F217" s="365"/>
      <c r="G217" s="366"/>
    </row>
    <row r="218" spans="1:7" ht="15" hidden="1">
      <c r="A218" s="377"/>
      <c r="B218" s="491" t="s">
        <v>280</v>
      </c>
      <c r="C218" s="360"/>
      <c r="F218" s="589" t="s">
        <v>279</v>
      </c>
      <c r="G218" s="360"/>
    </row>
    <row r="219" spans="1:7" ht="15" hidden="1">
      <c r="A219" s="369" t="s">
        <v>183</v>
      </c>
      <c r="B219" s="359"/>
      <c r="C219" s="360">
        <f>C$214*B219</f>
        <v>0</v>
      </c>
      <c r="F219" s="417">
        <f>G219/G$214</f>
        <v>0</v>
      </c>
      <c r="G219" s="360">
        <f>C291+G291</f>
        <v>0</v>
      </c>
    </row>
    <row r="220" spans="1:7" ht="15" hidden="1">
      <c r="A220" s="357" t="s">
        <v>184</v>
      </c>
      <c r="B220" s="359"/>
      <c r="C220" s="360">
        <f aca="true" t="shared" si="7" ref="C220:C277">C$214*B220</f>
        <v>0</v>
      </c>
      <c r="F220" s="417">
        <f aca="true" t="shared" si="8" ref="F220:F277">G220/G$214</f>
        <v>0</v>
      </c>
      <c r="G220" s="360">
        <f aca="true" t="shared" si="9" ref="G220:G277">C292+G292</f>
        <v>0</v>
      </c>
    </row>
    <row r="221" spans="1:7" ht="15" hidden="1">
      <c r="A221" s="357" t="s">
        <v>185</v>
      </c>
      <c r="B221" s="359"/>
      <c r="C221" s="360">
        <f t="shared" si="7"/>
        <v>0</v>
      </c>
      <c r="F221" s="417">
        <f t="shared" si="8"/>
        <v>0</v>
      </c>
      <c r="G221" s="360">
        <f t="shared" si="9"/>
        <v>0</v>
      </c>
    </row>
    <row r="222" spans="1:7" ht="15" hidden="1">
      <c r="A222" s="357" t="s">
        <v>186</v>
      </c>
      <c r="B222" s="359"/>
      <c r="C222" s="360">
        <f t="shared" si="7"/>
        <v>0</v>
      </c>
      <c r="F222" s="417">
        <f t="shared" si="8"/>
        <v>0</v>
      </c>
      <c r="G222" s="360">
        <f t="shared" si="9"/>
        <v>0</v>
      </c>
    </row>
    <row r="223" spans="1:7" ht="15" hidden="1">
      <c r="A223" s="357" t="s">
        <v>187</v>
      </c>
      <c r="B223" s="359"/>
      <c r="C223" s="360">
        <f t="shared" si="7"/>
        <v>0</v>
      </c>
      <c r="F223" s="417">
        <f t="shared" si="8"/>
        <v>0</v>
      </c>
      <c r="G223" s="360">
        <f t="shared" si="9"/>
        <v>0</v>
      </c>
    </row>
    <row r="224" spans="1:7" ht="15" hidden="1">
      <c r="A224" s="357" t="s">
        <v>188</v>
      </c>
      <c r="B224" s="359"/>
      <c r="C224" s="360">
        <f t="shared" si="7"/>
        <v>0</v>
      </c>
      <c r="F224" s="417">
        <f t="shared" si="8"/>
        <v>0</v>
      </c>
      <c r="G224" s="360">
        <f t="shared" si="9"/>
        <v>0</v>
      </c>
    </row>
    <row r="225" spans="1:7" ht="15" hidden="1">
      <c r="A225" s="357" t="s">
        <v>189</v>
      </c>
      <c r="B225" s="359"/>
      <c r="C225" s="360">
        <f t="shared" si="7"/>
        <v>0</v>
      </c>
      <c r="F225" s="417">
        <f t="shared" si="8"/>
        <v>0</v>
      </c>
      <c r="G225" s="360">
        <f t="shared" si="9"/>
        <v>0</v>
      </c>
    </row>
    <row r="226" spans="1:7" ht="15" hidden="1">
      <c r="A226" s="357" t="s">
        <v>190</v>
      </c>
      <c r="B226" s="359"/>
      <c r="C226" s="360">
        <f t="shared" si="7"/>
        <v>0</v>
      </c>
      <c r="F226" s="417">
        <f t="shared" si="8"/>
        <v>0</v>
      </c>
      <c r="G226" s="360">
        <f t="shared" si="9"/>
        <v>0</v>
      </c>
    </row>
    <row r="227" spans="1:7" ht="15" hidden="1">
      <c r="A227" s="357" t="s">
        <v>191</v>
      </c>
      <c r="B227" s="359"/>
      <c r="C227" s="360">
        <f t="shared" si="7"/>
        <v>0</v>
      </c>
      <c r="F227" s="417">
        <f t="shared" si="8"/>
        <v>0</v>
      </c>
      <c r="G227" s="360">
        <f t="shared" si="9"/>
        <v>0</v>
      </c>
    </row>
    <row r="228" spans="1:7" ht="15" hidden="1">
      <c r="A228" s="357" t="s">
        <v>192</v>
      </c>
      <c r="B228" s="359"/>
      <c r="C228" s="360">
        <f t="shared" si="7"/>
        <v>0</v>
      </c>
      <c r="F228" s="417">
        <f t="shared" si="8"/>
        <v>0</v>
      </c>
      <c r="G228" s="360">
        <f t="shared" si="9"/>
        <v>0</v>
      </c>
    </row>
    <row r="229" spans="1:7" ht="15" hidden="1">
      <c r="A229" s="357" t="s">
        <v>193</v>
      </c>
      <c r="B229" s="359"/>
      <c r="C229" s="360">
        <f t="shared" si="7"/>
        <v>0</v>
      </c>
      <c r="F229" s="417">
        <f t="shared" si="8"/>
        <v>0</v>
      </c>
      <c r="G229" s="360">
        <f t="shared" si="9"/>
        <v>0</v>
      </c>
    </row>
    <row r="230" spans="1:7" ht="15" hidden="1">
      <c r="A230" s="357" t="s">
        <v>194</v>
      </c>
      <c r="B230" s="359"/>
      <c r="C230" s="360">
        <f t="shared" si="7"/>
        <v>0</v>
      </c>
      <c r="F230" s="417">
        <f t="shared" si="8"/>
        <v>0</v>
      </c>
      <c r="G230" s="360">
        <f t="shared" si="9"/>
        <v>0</v>
      </c>
    </row>
    <row r="231" spans="1:7" ht="15" hidden="1">
      <c r="A231" s="357" t="s">
        <v>195</v>
      </c>
      <c r="B231" s="359"/>
      <c r="C231" s="360">
        <f t="shared" si="7"/>
        <v>0</v>
      </c>
      <c r="F231" s="417">
        <f t="shared" si="8"/>
        <v>0</v>
      </c>
      <c r="G231" s="360">
        <f t="shared" si="9"/>
        <v>0</v>
      </c>
    </row>
    <row r="232" spans="1:7" ht="15" hidden="1">
      <c r="A232" s="357" t="s">
        <v>196</v>
      </c>
      <c r="B232" s="359"/>
      <c r="C232" s="360">
        <f t="shared" si="7"/>
        <v>0</v>
      </c>
      <c r="F232" s="417">
        <f t="shared" si="8"/>
        <v>0</v>
      </c>
      <c r="G232" s="360">
        <f t="shared" si="9"/>
        <v>0</v>
      </c>
    </row>
    <row r="233" spans="1:7" ht="15" hidden="1">
      <c r="A233" s="357" t="s">
        <v>197</v>
      </c>
      <c r="B233" s="359"/>
      <c r="C233" s="360">
        <f t="shared" si="7"/>
        <v>0</v>
      </c>
      <c r="F233" s="417">
        <f t="shared" si="8"/>
        <v>0</v>
      </c>
      <c r="G233" s="360">
        <f t="shared" si="9"/>
        <v>0</v>
      </c>
    </row>
    <row r="234" spans="1:7" ht="15" hidden="1">
      <c r="A234" s="357" t="s">
        <v>198</v>
      </c>
      <c r="B234" s="359"/>
      <c r="C234" s="360">
        <f t="shared" si="7"/>
        <v>0</v>
      </c>
      <c r="F234" s="417">
        <f t="shared" si="8"/>
        <v>0</v>
      </c>
      <c r="G234" s="360">
        <f t="shared" si="9"/>
        <v>0</v>
      </c>
    </row>
    <row r="235" spans="1:7" ht="15" hidden="1">
      <c r="A235" s="357" t="s">
        <v>199</v>
      </c>
      <c r="B235" s="359"/>
      <c r="C235" s="360">
        <f t="shared" si="7"/>
        <v>0</v>
      </c>
      <c r="F235" s="417">
        <f t="shared" si="8"/>
        <v>0</v>
      </c>
      <c r="G235" s="360">
        <f t="shared" si="9"/>
        <v>0</v>
      </c>
    </row>
    <row r="236" spans="1:7" ht="15" hidden="1">
      <c r="A236" s="357" t="s">
        <v>200</v>
      </c>
      <c r="B236" s="359"/>
      <c r="C236" s="360">
        <f t="shared" si="7"/>
        <v>0</v>
      </c>
      <c r="F236" s="417">
        <f t="shared" si="8"/>
        <v>0</v>
      </c>
      <c r="G236" s="360">
        <f t="shared" si="9"/>
        <v>0</v>
      </c>
    </row>
    <row r="237" spans="1:7" ht="15" hidden="1">
      <c r="A237" s="357" t="s">
        <v>201</v>
      </c>
      <c r="B237" s="359"/>
      <c r="C237" s="360">
        <f t="shared" si="7"/>
        <v>0</v>
      </c>
      <c r="F237" s="417">
        <f t="shared" si="8"/>
        <v>0</v>
      </c>
      <c r="G237" s="360">
        <f t="shared" si="9"/>
        <v>0</v>
      </c>
    </row>
    <row r="238" spans="1:7" ht="15" hidden="1">
      <c r="A238" s="357" t="s">
        <v>202</v>
      </c>
      <c r="B238" s="359"/>
      <c r="C238" s="360">
        <f t="shared" si="7"/>
        <v>0</v>
      </c>
      <c r="F238" s="417">
        <f t="shared" si="8"/>
        <v>0</v>
      </c>
      <c r="G238" s="360">
        <f t="shared" si="9"/>
        <v>0</v>
      </c>
    </row>
    <row r="239" spans="1:7" ht="15" hidden="1">
      <c r="A239" s="357" t="s">
        <v>203</v>
      </c>
      <c r="B239" s="359"/>
      <c r="C239" s="360">
        <f t="shared" si="7"/>
        <v>0</v>
      </c>
      <c r="F239" s="417">
        <f t="shared" si="8"/>
        <v>0</v>
      </c>
      <c r="G239" s="360">
        <f t="shared" si="9"/>
        <v>0</v>
      </c>
    </row>
    <row r="240" spans="1:7" ht="15" hidden="1">
      <c r="A240" s="357" t="s">
        <v>204</v>
      </c>
      <c r="B240" s="359"/>
      <c r="C240" s="360">
        <f t="shared" si="7"/>
        <v>0</v>
      </c>
      <c r="F240" s="417">
        <f t="shared" si="8"/>
        <v>0</v>
      </c>
      <c r="G240" s="360">
        <f t="shared" si="9"/>
        <v>0</v>
      </c>
    </row>
    <row r="241" spans="1:7" ht="15" hidden="1">
      <c r="A241" s="357" t="s">
        <v>205</v>
      </c>
      <c r="B241" s="359"/>
      <c r="C241" s="360">
        <f t="shared" si="7"/>
        <v>0</v>
      </c>
      <c r="F241" s="417">
        <f t="shared" si="8"/>
        <v>0</v>
      </c>
      <c r="G241" s="360">
        <f t="shared" si="9"/>
        <v>0</v>
      </c>
    </row>
    <row r="242" spans="1:7" ht="15" hidden="1">
      <c r="A242" s="357" t="s">
        <v>206</v>
      </c>
      <c r="B242" s="359"/>
      <c r="C242" s="360">
        <f t="shared" si="7"/>
        <v>0</v>
      </c>
      <c r="F242" s="417">
        <f t="shared" si="8"/>
        <v>0</v>
      </c>
      <c r="G242" s="360">
        <f t="shared" si="9"/>
        <v>0</v>
      </c>
    </row>
    <row r="243" spans="1:7" ht="15" hidden="1">
      <c r="A243" s="357" t="s">
        <v>207</v>
      </c>
      <c r="B243" s="359"/>
      <c r="C243" s="360">
        <f t="shared" si="7"/>
        <v>0</v>
      </c>
      <c r="F243" s="417">
        <f t="shared" si="8"/>
        <v>0</v>
      </c>
      <c r="G243" s="360">
        <f t="shared" si="9"/>
        <v>0</v>
      </c>
    </row>
    <row r="244" spans="1:7" ht="15" hidden="1">
      <c r="A244" s="357" t="s">
        <v>208</v>
      </c>
      <c r="B244" s="359"/>
      <c r="C244" s="360">
        <f t="shared" si="7"/>
        <v>0</v>
      </c>
      <c r="F244" s="417">
        <f t="shared" si="8"/>
        <v>0</v>
      </c>
      <c r="G244" s="360">
        <f t="shared" si="9"/>
        <v>0</v>
      </c>
    </row>
    <row r="245" spans="1:7" ht="15" hidden="1">
      <c r="A245" s="357" t="s">
        <v>209</v>
      </c>
      <c r="B245" s="359"/>
      <c r="C245" s="360">
        <f t="shared" si="7"/>
        <v>0</v>
      </c>
      <c r="F245" s="417">
        <f t="shared" si="8"/>
        <v>0</v>
      </c>
      <c r="G245" s="360">
        <f t="shared" si="9"/>
        <v>0</v>
      </c>
    </row>
    <row r="246" spans="1:7" ht="15" hidden="1">
      <c r="A246" s="357" t="s">
        <v>210</v>
      </c>
      <c r="B246" s="359"/>
      <c r="C246" s="360">
        <f t="shared" si="7"/>
        <v>0</v>
      </c>
      <c r="F246" s="417">
        <f t="shared" si="8"/>
        <v>0</v>
      </c>
      <c r="G246" s="360">
        <f t="shared" si="9"/>
        <v>0</v>
      </c>
    </row>
    <row r="247" spans="1:7" ht="15" hidden="1">
      <c r="A247" s="357" t="s">
        <v>211</v>
      </c>
      <c r="B247" s="359"/>
      <c r="C247" s="360">
        <f t="shared" si="7"/>
        <v>0</v>
      </c>
      <c r="F247" s="417">
        <f t="shared" si="8"/>
        <v>0</v>
      </c>
      <c r="G247" s="360">
        <f t="shared" si="9"/>
        <v>0</v>
      </c>
    </row>
    <row r="248" spans="1:7" ht="15" hidden="1">
      <c r="A248" s="357" t="s">
        <v>212</v>
      </c>
      <c r="B248" s="359"/>
      <c r="C248" s="360">
        <f t="shared" si="7"/>
        <v>0</v>
      </c>
      <c r="F248" s="417">
        <f t="shared" si="8"/>
        <v>0</v>
      </c>
      <c r="G248" s="360">
        <f t="shared" si="9"/>
        <v>0</v>
      </c>
    </row>
    <row r="249" spans="1:7" ht="15" hidden="1">
      <c r="A249" s="357" t="s">
        <v>213</v>
      </c>
      <c r="B249" s="359"/>
      <c r="C249" s="360">
        <f t="shared" si="7"/>
        <v>0</v>
      </c>
      <c r="F249" s="417">
        <f t="shared" si="8"/>
        <v>0</v>
      </c>
      <c r="G249" s="360">
        <f t="shared" si="9"/>
        <v>0</v>
      </c>
    </row>
    <row r="250" spans="1:7" ht="15" hidden="1">
      <c r="A250" s="357" t="s">
        <v>214</v>
      </c>
      <c r="B250" s="359"/>
      <c r="C250" s="360">
        <f t="shared" si="7"/>
        <v>0</v>
      </c>
      <c r="F250" s="417">
        <f t="shared" si="8"/>
        <v>0</v>
      </c>
      <c r="G250" s="360">
        <f t="shared" si="9"/>
        <v>0</v>
      </c>
    </row>
    <row r="251" spans="1:7" ht="15" hidden="1">
      <c r="A251" s="357" t="s">
        <v>215</v>
      </c>
      <c r="B251" s="359"/>
      <c r="C251" s="360">
        <f t="shared" si="7"/>
        <v>0</v>
      </c>
      <c r="F251" s="417">
        <f t="shared" si="8"/>
        <v>0</v>
      </c>
      <c r="G251" s="360">
        <f t="shared" si="9"/>
        <v>0</v>
      </c>
    </row>
    <row r="252" spans="1:7" ht="15" hidden="1">
      <c r="A252" s="357" t="s">
        <v>216</v>
      </c>
      <c r="B252" s="359"/>
      <c r="C252" s="360">
        <f t="shared" si="7"/>
        <v>0</v>
      </c>
      <c r="F252" s="417">
        <f t="shared" si="8"/>
        <v>0</v>
      </c>
      <c r="G252" s="360">
        <f t="shared" si="9"/>
        <v>0</v>
      </c>
    </row>
    <row r="253" spans="1:7" ht="15" hidden="1">
      <c r="A253" s="357" t="s">
        <v>217</v>
      </c>
      <c r="B253" s="359"/>
      <c r="C253" s="360">
        <f t="shared" si="7"/>
        <v>0</v>
      </c>
      <c r="F253" s="417">
        <f t="shared" si="8"/>
        <v>0</v>
      </c>
      <c r="G253" s="360">
        <f t="shared" si="9"/>
        <v>0</v>
      </c>
    </row>
    <row r="254" spans="1:7" ht="15" hidden="1">
      <c r="A254" s="357" t="s">
        <v>218</v>
      </c>
      <c r="B254" s="359"/>
      <c r="C254" s="360">
        <f t="shared" si="7"/>
        <v>0</v>
      </c>
      <c r="F254" s="417">
        <f t="shared" si="8"/>
        <v>0</v>
      </c>
      <c r="G254" s="360">
        <f t="shared" si="9"/>
        <v>0</v>
      </c>
    </row>
    <row r="255" spans="1:7" ht="15" hidden="1">
      <c r="A255" s="357" t="s">
        <v>219</v>
      </c>
      <c r="B255" s="359"/>
      <c r="C255" s="360">
        <f t="shared" si="7"/>
        <v>0</v>
      </c>
      <c r="F255" s="417">
        <f t="shared" si="8"/>
        <v>0</v>
      </c>
      <c r="G255" s="360">
        <f t="shared" si="9"/>
        <v>0</v>
      </c>
    </row>
    <row r="256" spans="1:7" ht="15" hidden="1">
      <c r="A256" s="357" t="s">
        <v>220</v>
      </c>
      <c r="B256" s="359"/>
      <c r="C256" s="360">
        <f t="shared" si="7"/>
        <v>0</v>
      </c>
      <c r="F256" s="417">
        <f t="shared" si="8"/>
        <v>0</v>
      </c>
      <c r="G256" s="360">
        <f t="shared" si="9"/>
        <v>0</v>
      </c>
    </row>
    <row r="257" spans="1:7" ht="15" hidden="1">
      <c r="A257" s="357" t="s">
        <v>221</v>
      </c>
      <c r="B257" s="359"/>
      <c r="C257" s="360">
        <f t="shared" si="7"/>
        <v>0</v>
      </c>
      <c r="F257" s="417">
        <f t="shared" si="8"/>
        <v>0</v>
      </c>
      <c r="G257" s="360">
        <f t="shared" si="9"/>
        <v>0</v>
      </c>
    </row>
    <row r="258" spans="1:7" ht="15" hidden="1">
      <c r="A258" s="357" t="s">
        <v>222</v>
      </c>
      <c r="B258" s="359"/>
      <c r="C258" s="360">
        <f t="shared" si="7"/>
        <v>0</v>
      </c>
      <c r="F258" s="417">
        <f t="shared" si="8"/>
        <v>0</v>
      </c>
      <c r="G258" s="360">
        <f t="shared" si="9"/>
        <v>0</v>
      </c>
    </row>
    <row r="259" spans="1:7" ht="15" hidden="1">
      <c r="A259" s="369" t="s">
        <v>182</v>
      </c>
      <c r="B259" s="370"/>
      <c r="C259" s="360">
        <f t="shared" si="7"/>
        <v>0</v>
      </c>
      <c r="D259" s="371"/>
      <c r="E259" s="371"/>
      <c r="F259" s="417">
        <f t="shared" si="8"/>
        <v>0</v>
      </c>
      <c r="G259" s="360">
        <f t="shared" si="9"/>
        <v>0</v>
      </c>
    </row>
    <row r="260" spans="1:7" ht="15" hidden="1">
      <c r="A260" s="369" t="s">
        <v>223</v>
      </c>
      <c r="B260" s="370"/>
      <c r="C260" s="360">
        <f t="shared" si="7"/>
        <v>0</v>
      </c>
      <c r="D260" s="371"/>
      <c r="E260" s="371"/>
      <c r="F260" s="417">
        <f t="shared" si="8"/>
        <v>0</v>
      </c>
      <c r="G260" s="360">
        <f t="shared" si="9"/>
        <v>0</v>
      </c>
    </row>
    <row r="261" spans="1:7" ht="15" hidden="1">
      <c r="A261" s="369" t="s">
        <v>224</v>
      </c>
      <c r="B261" s="370"/>
      <c r="C261" s="360">
        <f t="shared" si="7"/>
        <v>0</v>
      </c>
      <c r="D261" s="371"/>
      <c r="E261" s="371"/>
      <c r="F261" s="417">
        <f t="shared" si="8"/>
        <v>0</v>
      </c>
      <c r="G261" s="360">
        <f t="shared" si="9"/>
        <v>0</v>
      </c>
    </row>
    <row r="262" spans="1:7" ht="15" hidden="1">
      <c r="A262" s="369" t="s">
        <v>225</v>
      </c>
      <c r="B262" s="370"/>
      <c r="C262" s="360">
        <f t="shared" si="7"/>
        <v>0</v>
      </c>
      <c r="D262" s="371"/>
      <c r="E262" s="371"/>
      <c r="F262" s="417">
        <f t="shared" si="8"/>
        <v>0</v>
      </c>
      <c r="G262" s="360">
        <f t="shared" si="9"/>
        <v>0</v>
      </c>
    </row>
    <row r="263" spans="1:7" ht="15" hidden="1">
      <c r="A263" s="357" t="s">
        <v>226</v>
      </c>
      <c r="B263" s="359"/>
      <c r="C263" s="360">
        <f t="shared" si="7"/>
        <v>0</v>
      </c>
      <c r="F263" s="417">
        <f t="shared" si="8"/>
        <v>0</v>
      </c>
      <c r="G263" s="360">
        <f t="shared" si="9"/>
        <v>0</v>
      </c>
    </row>
    <row r="264" spans="1:7" ht="15" hidden="1">
      <c r="A264" s="357" t="s">
        <v>227</v>
      </c>
      <c r="B264" s="359"/>
      <c r="C264" s="360">
        <f t="shared" si="7"/>
        <v>0</v>
      </c>
      <c r="F264" s="417">
        <f t="shared" si="8"/>
        <v>0</v>
      </c>
      <c r="G264" s="360">
        <f t="shared" si="9"/>
        <v>0</v>
      </c>
    </row>
    <row r="265" spans="1:7" ht="15" hidden="1">
      <c r="A265" s="357" t="s">
        <v>228</v>
      </c>
      <c r="B265" s="359"/>
      <c r="C265" s="360">
        <f t="shared" si="7"/>
        <v>0</v>
      </c>
      <c r="F265" s="417">
        <f t="shared" si="8"/>
        <v>0</v>
      </c>
      <c r="G265" s="360">
        <f t="shared" si="9"/>
        <v>0</v>
      </c>
    </row>
    <row r="266" spans="1:7" ht="15" hidden="1">
      <c r="A266" s="357" t="s">
        <v>229</v>
      </c>
      <c r="B266" s="359"/>
      <c r="C266" s="360">
        <f t="shared" si="7"/>
        <v>0</v>
      </c>
      <c r="F266" s="417">
        <f t="shared" si="8"/>
        <v>0</v>
      </c>
      <c r="G266" s="360">
        <f t="shared" si="9"/>
        <v>0</v>
      </c>
    </row>
    <row r="267" spans="1:7" ht="15" hidden="1">
      <c r="A267" s="357" t="s">
        <v>230</v>
      </c>
      <c r="B267" s="359"/>
      <c r="C267" s="360">
        <f t="shared" si="7"/>
        <v>0</v>
      </c>
      <c r="F267" s="417">
        <f t="shared" si="8"/>
        <v>0</v>
      </c>
      <c r="G267" s="360">
        <f t="shared" si="9"/>
        <v>0</v>
      </c>
    </row>
    <row r="268" spans="1:7" ht="15" hidden="1">
      <c r="A268" s="357" t="s">
        <v>231</v>
      </c>
      <c r="B268" s="359"/>
      <c r="C268" s="360">
        <f t="shared" si="7"/>
        <v>0</v>
      </c>
      <c r="F268" s="417">
        <f t="shared" si="8"/>
        <v>0</v>
      </c>
      <c r="G268" s="360">
        <f t="shared" si="9"/>
        <v>0</v>
      </c>
    </row>
    <row r="269" spans="1:7" ht="15" hidden="1">
      <c r="A269" s="357" t="s">
        <v>232</v>
      </c>
      <c r="B269" s="359"/>
      <c r="C269" s="360">
        <f t="shared" si="7"/>
        <v>0</v>
      </c>
      <c r="F269" s="417">
        <f t="shared" si="8"/>
        <v>0</v>
      </c>
      <c r="G269" s="360">
        <f t="shared" si="9"/>
        <v>0</v>
      </c>
    </row>
    <row r="270" spans="1:7" ht="15" hidden="1">
      <c r="A270" s="357" t="s">
        <v>233</v>
      </c>
      <c r="B270" s="359"/>
      <c r="C270" s="360">
        <f t="shared" si="7"/>
        <v>0</v>
      </c>
      <c r="F270" s="417">
        <f t="shared" si="8"/>
        <v>0</v>
      </c>
      <c r="G270" s="360">
        <f t="shared" si="9"/>
        <v>0</v>
      </c>
    </row>
    <row r="271" spans="1:7" ht="15" hidden="1">
      <c r="A271" s="357" t="s">
        <v>234</v>
      </c>
      <c r="B271" s="359"/>
      <c r="C271" s="360">
        <f t="shared" si="7"/>
        <v>0</v>
      </c>
      <c r="F271" s="417">
        <f t="shared" si="8"/>
        <v>0</v>
      </c>
      <c r="G271" s="360">
        <f t="shared" si="9"/>
        <v>0</v>
      </c>
    </row>
    <row r="272" spans="1:7" ht="15" hidden="1">
      <c r="A272" s="357" t="s">
        <v>235</v>
      </c>
      <c r="B272" s="359"/>
      <c r="C272" s="360">
        <f t="shared" si="7"/>
        <v>0</v>
      </c>
      <c r="F272" s="417">
        <f t="shared" si="8"/>
        <v>0</v>
      </c>
      <c r="G272" s="360">
        <f t="shared" si="9"/>
        <v>0</v>
      </c>
    </row>
    <row r="273" spans="1:7" ht="15" hidden="1">
      <c r="A273" s="357" t="s">
        <v>236</v>
      </c>
      <c r="B273" s="359"/>
      <c r="C273" s="360">
        <f t="shared" si="7"/>
        <v>0</v>
      </c>
      <c r="F273" s="417">
        <f t="shared" si="8"/>
        <v>0</v>
      </c>
      <c r="G273" s="360">
        <f t="shared" si="9"/>
        <v>0</v>
      </c>
    </row>
    <row r="274" spans="1:7" ht="15" hidden="1">
      <c r="A274" s="357" t="s">
        <v>237</v>
      </c>
      <c r="B274" s="359"/>
      <c r="C274" s="360">
        <f t="shared" si="7"/>
        <v>0</v>
      </c>
      <c r="F274" s="417">
        <f t="shared" si="8"/>
        <v>0</v>
      </c>
      <c r="G274" s="360">
        <f t="shared" si="9"/>
        <v>0</v>
      </c>
    </row>
    <row r="275" spans="1:7" ht="15" hidden="1">
      <c r="A275" s="357" t="s">
        <v>238</v>
      </c>
      <c r="B275" s="359"/>
      <c r="C275" s="360">
        <f t="shared" si="7"/>
        <v>0</v>
      </c>
      <c r="F275" s="417">
        <f t="shared" si="8"/>
        <v>0</v>
      </c>
      <c r="G275" s="360">
        <f t="shared" si="9"/>
        <v>0</v>
      </c>
    </row>
    <row r="276" spans="1:7" ht="15" hidden="1">
      <c r="A276" s="357" t="s">
        <v>239</v>
      </c>
      <c r="B276" s="359"/>
      <c r="C276" s="360">
        <f t="shared" si="7"/>
        <v>0</v>
      </c>
      <c r="F276" s="417">
        <f t="shared" si="8"/>
        <v>0</v>
      </c>
      <c r="G276" s="360">
        <f t="shared" si="9"/>
        <v>0</v>
      </c>
    </row>
    <row r="277" spans="1:7" ht="15" hidden="1">
      <c r="A277" s="357" t="s">
        <v>140</v>
      </c>
      <c r="B277" s="363"/>
      <c r="C277" s="364">
        <f t="shared" si="7"/>
        <v>0</v>
      </c>
      <c r="F277" s="417">
        <f t="shared" si="8"/>
        <v>0</v>
      </c>
      <c r="G277" s="360">
        <f t="shared" si="9"/>
        <v>0</v>
      </c>
    </row>
    <row r="278" spans="1:7" ht="15.75" hidden="1" thickBot="1">
      <c r="A278" s="357" t="s">
        <v>141</v>
      </c>
      <c r="B278" s="361">
        <f>SUM(B219:B277)</f>
        <v>0</v>
      </c>
      <c r="C278" s="362">
        <f>SUM(C219:C277)</f>
        <v>0</v>
      </c>
      <c r="F278" s="367">
        <f>SUM(F219:F277)</f>
        <v>0</v>
      </c>
      <c r="G278" s="368">
        <f>SUM(G219:G277)</f>
        <v>0</v>
      </c>
    </row>
    <row r="279" ht="15" hidden="1"/>
    <row r="280" ht="15" hidden="1"/>
    <row r="281" ht="15" hidden="1"/>
    <row r="282" ht="15" hidden="1"/>
    <row r="283" spans="1:7" ht="15" hidden="1">
      <c r="A283" s="676" t="s">
        <v>162</v>
      </c>
      <c r="B283" s="676"/>
      <c r="C283" s="676"/>
      <c r="D283" s="676"/>
      <c r="E283" s="676"/>
      <c r="F283" s="676"/>
      <c r="G283" s="676"/>
    </row>
    <row r="284" spans="1:7" ht="15" customHeight="1" hidden="1">
      <c r="A284" s="677" t="s">
        <v>244</v>
      </c>
      <c r="B284" s="677"/>
      <c r="C284" s="677"/>
      <c r="D284" s="677"/>
      <c r="E284" s="677"/>
      <c r="F284" s="677"/>
      <c r="G284" s="677"/>
    </row>
    <row r="285" spans="1:7" ht="15" hidden="1">
      <c r="A285" s="358"/>
      <c r="B285" s="358"/>
      <c r="C285" s="358"/>
      <c r="D285" s="358"/>
      <c r="E285" s="358"/>
      <c r="F285" s="358"/>
      <c r="G285" s="358"/>
    </row>
    <row r="286" spans="2:7" ht="15" hidden="1">
      <c r="B286" s="372" t="s">
        <v>163</v>
      </c>
      <c r="C286" s="376">
        <f>B31</f>
        <v>92591530.81188549</v>
      </c>
      <c r="D286" s="358"/>
      <c r="E286" s="358"/>
      <c r="F286" s="323" t="s">
        <v>164</v>
      </c>
      <c r="G286" s="373">
        <f>B32</f>
        <v>5408628.809504515</v>
      </c>
    </row>
    <row r="287" spans="1:6" ht="15.75" hidden="1" thickBot="1">
      <c r="A287" s="358"/>
      <c r="B287" s="419"/>
      <c r="C287" s="358"/>
      <c r="D287" s="358"/>
      <c r="E287" s="358"/>
      <c r="F287" s="419"/>
    </row>
    <row r="288" spans="1:7" ht="15.75" hidden="1" thickBot="1">
      <c r="A288" s="358"/>
      <c r="B288" s="672" t="s">
        <v>165</v>
      </c>
      <c r="C288" s="673"/>
      <c r="D288" s="358"/>
      <c r="E288" s="358"/>
      <c r="F288" s="674" t="s">
        <v>166</v>
      </c>
      <c r="G288" s="675"/>
    </row>
    <row r="289" spans="1:7" ht="6" customHeight="1" hidden="1" thickBot="1">
      <c r="A289" s="358"/>
      <c r="B289" s="365"/>
      <c r="C289" s="366"/>
      <c r="D289" s="358"/>
      <c r="E289" s="358"/>
      <c r="F289" s="365"/>
      <c r="G289" s="366"/>
    </row>
    <row r="290" spans="1:7" ht="15" hidden="1">
      <c r="A290" s="377"/>
      <c r="B290" s="588" t="s">
        <v>278</v>
      </c>
      <c r="C290" s="360"/>
      <c r="F290" s="588" t="s">
        <v>278</v>
      </c>
      <c r="G290" s="360"/>
    </row>
    <row r="291" spans="1:7" ht="15" hidden="1">
      <c r="A291" s="369" t="s">
        <v>183</v>
      </c>
      <c r="B291" s="359"/>
      <c r="C291" s="360">
        <f>C$286*B291</f>
        <v>0</v>
      </c>
      <c r="F291" s="359"/>
      <c r="G291" s="360">
        <f>G$286*F291</f>
        <v>0</v>
      </c>
    </row>
    <row r="292" spans="1:7" ht="15" hidden="1">
      <c r="A292" s="357" t="s">
        <v>184</v>
      </c>
      <c r="B292" s="359"/>
      <c r="C292" s="360">
        <f aca="true" t="shared" si="10" ref="C292:C349">C$286*B292</f>
        <v>0</v>
      </c>
      <c r="F292" s="359"/>
      <c r="G292" s="360">
        <f aca="true" t="shared" si="11" ref="G292:G349">G$286*F292</f>
        <v>0</v>
      </c>
    </row>
    <row r="293" spans="1:7" ht="15" hidden="1">
      <c r="A293" s="357" t="s">
        <v>185</v>
      </c>
      <c r="B293" s="359"/>
      <c r="C293" s="360">
        <f t="shared" si="10"/>
        <v>0</v>
      </c>
      <c r="F293" s="359"/>
      <c r="G293" s="360">
        <f t="shared" si="11"/>
        <v>0</v>
      </c>
    </row>
    <row r="294" spans="1:7" ht="15" hidden="1">
      <c r="A294" s="357" t="s">
        <v>186</v>
      </c>
      <c r="B294" s="359"/>
      <c r="C294" s="360">
        <f t="shared" si="10"/>
        <v>0</v>
      </c>
      <c r="F294" s="359"/>
      <c r="G294" s="360">
        <f t="shared" si="11"/>
        <v>0</v>
      </c>
    </row>
    <row r="295" spans="1:7" ht="15" hidden="1">
      <c r="A295" s="357" t="s">
        <v>187</v>
      </c>
      <c r="B295" s="359"/>
      <c r="C295" s="360">
        <f t="shared" si="10"/>
        <v>0</v>
      </c>
      <c r="F295" s="359"/>
      <c r="G295" s="360">
        <f t="shared" si="11"/>
        <v>0</v>
      </c>
    </row>
    <row r="296" spans="1:7" ht="15" hidden="1">
      <c r="A296" s="357" t="s">
        <v>188</v>
      </c>
      <c r="B296" s="359"/>
      <c r="C296" s="360">
        <f t="shared" si="10"/>
        <v>0</v>
      </c>
      <c r="F296" s="359"/>
      <c r="G296" s="360">
        <f t="shared" si="11"/>
        <v>0</v>
      </c>
    </row>
    <row r="297" spans="1:7" ht="15" hidden="1">
      <c r="A297" s="357" t="s">
        <v>189</v>
      </c>
      <c r="B297" s="359"/>
      <c r="C297" s="360">
        <f t="shared" si="10"/>
        <v>0</v>
      </c>
      <c r="F297" s="359"/>
      <c r="G297" s="360">
        <f t="shared" si="11"/>
        <v>0</v>
      </c>
    </row>
    <row r="298" spans="1:7" ht="15" hidden="1">
      <c r="A298" s="357" t="s">
        <v>190</v>
      </c>
      <c r="B298" s="359"/>
      <c r="C298" s="360">
        <f t="shared" si="10"/>
        <v>0</v>
      </c>
      <c r="F298" s="359"/>
      <c r="G298" s="360">
        <f t="shared" si="11"/>
        <v>0</v>
      </c>
    </row>
    <row r="299" spans="1:7" ht="15" hidden="1">
      <c r="A299" s="357" t="s">
        <v>191</v>
      </c>
      <c r="B299" s="359"/>
      <c r="C299" s="360">
        <f t="shared" si="10"/>
        <v>0</v>
      </c>
      <c r="F299" s="359"/>
      <c r="G299" s="360">
        <f t="shared" si="11"/>
        <v>0</v>
      </c>
    </row>
    <row r="300" spans="1:7" ht="15" hidden="1">
      <c r="A300" s="357" t="s">
        <v>192</v>
      </c>
      <c r="B300" s="359"/>
      <c r="C300" s="360">
        <f t="shared" si="10"/>
        <v>0</v>
      </c>
      <c r="F300" s="359"/>
      <c r="G300" s="360">
        <f t="shared" si="11"/>
        <v>0</v>
      </c>
    </row>
    <row r="301" spans="1:7" ht="15" hidden="1">
      <c r="A301" s="357" t="s">
        <v>193</v>
      </c>
      <c r="B301" s="359"/>
      <c r="C301" s="360">
        <f t="shared" si="10"/>
        <v>0</v>
      </c>
      <c r="F301" s="359"/>
      <c r="G301" s="360">
        <f t="shared" si="11"/>
        <v>0</v>
      </c>
    </row>
    <row r="302" spans="1:7" ht="15" hidden="1">
      <c r="A302" s="357" t="s">
        <v>194</v>
      </c>
      <c r="B302" s="359"/>
      <c r="C302" s="360">
        <f t="shared" si="10"/>
        <v>0</v>
      </c>
      <c r="F302" s="359"/>
      <c r="G302" s="360">
        <f t="shared" si="11"/>
        <v>0</v>
      </c>
    </row>
    <row r="303" spans="1:7" ht="15" hidden="1">
      <c r="A303" s="357" t="s">
        <v>195</v>
      </c>
      <c r="B303" s="359"/>
      <c r="C303" s="360">
        <f t="shared" si="10"/>
        <v>0</v>
      </c>
      <c r="F303" s="359"/>
      <c r="G303" s="360">
        <f t="shared" si="11"/>
        <v>0</v>
      </c>
    </row>
    <row r="304" spans="1:7" ht="15" hidden="1">
      <c r="A304" s="357" t="s">
        <v>196</v>
      </c>
      <c r="B304" s="359"/>
      <c r="C304" s="360">
        <f t="shared" si="10"/>
        <v>0</v>
      </c>
      <c r="F304" s="359"/>
      <c r="G304" s="360">
        <f t="shared" si="11"/>
        <v>0</v>
      </c>
    </row>
    <row r="305" spans="1:7" ht="15" hidden="1">
      <c r="A305" s="357" t="s">
        <v>197</v>
      </c>
      <c r="B305" s="359"/>
      <c r="C305" s="360">
        <f t="shared" si="10"/>
        <v>0</v>
      </c>
      <c r="F305" s="359"/>
      <c r="G305" s="360">
        <f t="shared" si="11"/>
        <v>0</v>
      </c>
    </row>
    <row r="306" spans="1:7" ht="15" hidden="1">
      <c r="A306" s="357" t="s">
        <v>198</v>
      </c>
      <c r="B306" s="359"/>
      <c r="C306" s="360">
        <f t="shared" si="10"/>
        <v>0</v>
      </c>
      <c r="F306" s="359"/>
      <c r="G306" s="360">
        <f t="shared" si="11"/>
        <v>0</v>
      </c>
    </row>
    <row r="307" spans="1:7" ht="15" hidden="1">
      <c r="A307" s="357" t="s">
        <v>199</v>
      </c>
      <c r="B307" s="359"/>
      <c r="C307" s="360">
        <f t="shared" si="10"/>
        <v>0</v>
      </c>
      <c r="F307" s="359"/>
      <c r="G307" s="360">
        <f t="shared" si="11"/>
        <v>0</v>
      </c>
    </row>
    <row r="308" spans="1:7" ht="15" hidden="1">
      <c r="A308" s="357" t="s">
        <v>200</v>
      </c>
      <c r="B308" s="359"/>
      <c r="C308" s="360">
        <f t="shared" si="10"/>
        <v>0</v>
      </c>
      <c r="F308" s="359"/>
      <c r="G308" s="360">
        <f t="shared" si="11"/>
        <v>0</v>
      </c>
    </row>
    <row r="309" spans="1:7" ht="15" hidden="1">
      <c r="A309" s="357" t="s">
        <v>201</v>
      </c>
      <c r="B309" s="359"/>
      <c r="C309" s="360">
        <f t="shared" si="10"/>
        <v>0</v>
      </c>
      <c r="F309" s="359"/>
      <c r="G309" s="360">
        <f t="shared" si="11"/>
        <v>0</v>
      </c>
    </row>
    <row r="310" spans="1:7" ht="15" hidden="1">
      <c r="A310" s="357" t="s">
        <v>202</v>
      </c>
      <c r="B310" s="359"/>
      <c r="C310" s="360">
        <f t="shared" si="10"/>
        <v>0</v>
      </c>
      <c r="F310" s="359"/>
      <c r="G310" s="360">
        <f t="shared" si="11"/>
        <v>0</v>
      </c>
    </row>
    <row r="311" spans="1:7" ht="15" hidden="1">
      <c r="A311" s="357" t="s">
        <v>203</v>
      </c>
      <c r="B311" s="359"/>
      <c r="C311" s="360">
        <f t="shared" si="10"/>
        <v>0</v>
      </c>
      <c r="F311" s="359"/>
      <c r="G311" s="360">
        <f t="shared" si="11"/>
        <v>0</v>
      </c>
    </row>
    <row r="312" spans="1:7" ht="15" hidden="1">
      <c r="A312" s="357" t="s">
        <v>204</v>
      </c>
      <c r="B312" s="359"/>
      <c r="C312" s="360">
        <f t="shared" si="10"/>
        <v>0</v>
      </c>
      <c r="F312" s="359"/>
      <c r="G312" s="360">
        <f t="shared" si="11"/>
        <v>0</v>
      </c>
    </row>
    <row r="313" spans="1:7" ht="15" hidden="1">
      <c r="A313" s="357" t="s">
        <v>205</v>
      </c>
      <c r="B313" s="359"/>
      <c r="C313" s="360">
        <f t="shared" si="10"/>
        <v>0</v>
      </c>
      <c r="F313" s="359"/>
      <c r="G313" s="360">
        <f t="shared" si="11"/>
        <v>0</v>
      </c>
    </row>
    <row r="314" spans="1:7" ht="15" hidden="1">
      <c r="A314" s="357" t="s">
        <v>206</v>
      </c>
      <c r="B314" s="359"/>
      <c r="C314" s="360">
        <f t="shared" si="10"/>
        <v>0</v>
      </c>
      <c r="F314" s="359"/>
      <c r="G314" s="360">
        <f t="shared" si="11"/>
        <v>0</v>
      </c>
    </row>
    <row r="315" spans="1:7" ht="15" hidden="1">
      <c r="A315" s="357" t="s">
        <v>207</v>
      </c>
      <c r="B315" s="359"/>
      <c r="C315" s="360">
        <f t="shared" si="10"/>
        <v>0</v>
      </c>
      <c r="F315" s="359"/>
      <c r="G315" s="360">
        <f t="shared" si="11"/>
        <v>0</v>
      </c>
    </row>
    <row r="316" spans="1:7" ht="15" hidden="1">
      <c r="A316" s="357" t="s">
        <v>208</v>
      </c>
      <c r="B316" s="359"/>
      <c r="C316" s="360">
        <f t="shared" si="10"/>
        <v>0</v>
      </c>
      <c r="F316" s="359"/>
      <c r="G316" s="360">
        <f t="shared" si="11"/>
        <v>0</v>
      </c>
    </row>
    <row r="317" spans="1:7" ht="15" hidden="1">
      <c r="A317" s="357" t="s">
        <v>209</v>
      </c>
      <c r="B317" s="359"/>
      <c r="C317" s="360">
        <f t="shared" si="10"/>
        <v>0</v>
      </c>
      <c r="F317" s="359"/>
      <c r="G317" s="360">
        <f t="shared" si="11"/>
        <v>0</v>
      </c>
    </row>
    <row r="318" spans="1:7" ht="15" hidden="1">
      <c r="A318" s="357" t="s">
        <v>210</v>
      </c>
      <c r="B318" s="359"/>
      <c r="C318" s="360">
        <f t="shared" si="10"/>
        <v>0</v>
      </c>
      <c r="F318" s="359"/>
      <c r="G318" s="360">
        <f t="shared" si="11"/>
        <v>0</v>
      </c>
    </row>
    <row r="319" spans="1:7" ht="15" hidden="1">
      <c r="A319" s="357" t="s">
        <v>211</v>
      </c>
      <c r="B319" s="359"/>
      <c r="C319" s="360">
        <f t="shared" si="10"/>
        <v>0</v>
      </c>
      <c r="F319" s="359"/>
      <c r="G319" s="360">
        <f t="shared" si="11"/>
        <v>0</v>
      </c>
    </row>
    <row r="320" spans="1:7" ht="15" hidden="1">
      <c r="A320" s="357" t="s">
        <v>212</v>
      </c>
      <c r="B320" s="359"/>
      <c r="C320" s="360">
        <f t="shared" si="10"/>
        <v>0</v>
      </c>
      <c r="F320" s="359"/>
      <c r="G320" s="360">
        <f t="shared" si="11"/>
        <v>0</v>
      </c>
    </row>
    <row r="321" spans="1:7" ht="15" hidden="1">
      <c r="A321" s="357" t="s">
        <v>213</v>
      </c>
      <c r="B321" s="359"/>
      <c r="C321" s="360">
        <f t="shared" si="10"/>
        <v>0</v>
      </c>
      <c r="F321" s="359"/>
      <c r="G321" s="360">
        <f t="shared" si="11"/>
        <v>0</v>
      </c>
    </row>
    <row r="322" spans="1:7" ht="15" hidden="1">
      <c r="A322" s="357" t="s">
        <v>214</v>
      </c>
      <c r="B322" s="359"/>
      <c r="C322" s="360">
        <f t="shared" si="10"/>
        <v>0</v>
      </c>
      <c r="F322" s="359"/>
      <c r="G322" s="360">
        <f t="shared" si="11"/>
        <v>0</v>
      </c>
    </row>
    <row r="323" spans="1:7" ht="15" hidden="1">
      <c r="A323" s="357" t="s">
        <v>215</v>
      </c>
      <c r="B323" s="359"/>
      <c r="C323" s="360">
        <f t="shared" si="10"/>
        <v>0</v>
      </c>
      <c r="F323" s="359"/>
      <c r="G323" s="360">
        <f t="shared" si="11"/>
        <v>0</v>
      </c>
    </row>
    <row r="324" spans="1:7" ht="15" hidden="1">
      <c r="A324" s="357" t="s">
        <v>216</v>
      </c>
      <c r="B324" s="359"/>
      <c r="C324" s="360">
        <f t="shared" si="10"/>
        <v>0</v>
      </c>
      <c r="F324" s="359"/>
      <c r="G324" s="360">
        <f t="shared" si="11"/>
        <v>0</v>
      </c>
    </row>
    <row r="325" spans="1:7" ht="15" hidden="1">
      <c r="A325" s="357" t="s">
        <v>217</v>
      </c>
      <c r="B325" s="359"/>
      <c r="C325" s="360">
        <f t="shared" si="10"/>
        <v>0</v>
      </c>
      <c r="F325" s="359"/>
      <c r="G325" s="360">
        <f t="shared" si="11"/>
        <v>0</v>
      </c>
    </row>
    <row r="326" spans="1:7" ht="15" hidden="1">
      <c r="A326" s="357" t="s">
        <v>218</v>
      </c>
      <c r="B326" s="359"/>
      <c r="C326" s="360">
        <f t="shared" si="10"/>
        <v>0</v>
      </c>
      <c r="F326" s="359"/>
      <c r="G326" s="360">
        <f t="shared" si="11"/>
        <v>0</v>
      </c>
    </row>
    <row r="327" spans="1:7" ht="15" hidden="1">
      <c r="A327" s="357" t="s">
        <v>219</v>
      </c>
      <c r="B327" s="359"/>
      <c r="C327" s="360">
        <f t="shared" si="10"/>
        <v>0</v>
      </c>
      <c r="F327" s="359"/>
      <c r="G327" s="360">
        <f t="shared" si="11"/>
        <v>0</v>
      </c>
    </row>
    <row r="328" spans="1:7" ht="15" hidden="1">
      <c r="A328" s="357" t="s">
        <v>220</v>
      </c>
      <c r="B328" s="359"/>
      <c r="C328" s="360">
        <f t="shared" si="10"/>
        <v>0</v>
      </c>
      <c r="F328" s="359"/>
      <c r="G328" s="360">
        <f t="shared" si="11"/>
        <v>0</v>
      </c>
    </row>
    <row r="329" spans="1:7" ht="15" hidden="1">
      <c r="A329" s="357" t="s">
        <v>221</v>
      </c>
      <c r="B329" s="359"/>
      <c r="C329" s="360">
        <f t="shared" si="10"/>
        <v>0</v>
      </c>
      <c r="F329" s="359"/>
      <c r="G329" s="360">
        <f t="shared" si="11"/>
        <v>0</v>
      </c>
    </row>
    <row r="330" spans="1:7" ht="15" hidden="1">
      <c r="A330" s="357" t="s">
        <v>222</v>
      </c>
      <c r="B330" s="359"/>
      <c r="C330" s="360">
        <f t="shared" si="10"/>
        <v>0</v>
      </c>
      <c r="F330" s="359"/>
      <c r="G330" s="360">
        <f t="shared" si="11"/>
        <v>0</v>
      </c>
    </row>
    <row r="331" spans="1:7" ht="15" hidden="1">
      <c r="A331" s="369" t="s">
        <v>182</v>
      </c>
      <c r="B331" s="370"/>
      <c r="C331" s="360">
        <f t="shared" si="10"/>
        <v>0</v>
      </c>
      <c r="D331" s="371"/>
      <c r="E331" s="371"/>
      <c r="F331" s="370"/>
      <c r="G331" s="360">
        <f t="shared" si="11"/>
        <v>0</v>
      </c>
    </row>
    <row r="332" spans="1:7" ht="15" hidden="1">
      <c r="A332" s="369" t="s">
        <v>223</v>
      </c>
      <c r="B332" s="370"/>
      <c r="C332" s="360">
        <f t="shared" si="10"/>
        <v>0</v>
      </c>
      <c r="D332" s="371"/>
      <c r="E332" s="371"/>
      <c r="F332" s="370"/>
      <c r="G332" s="360">
        <f t="shared" si="11"/>
        <v>0</v>
      </c>
    </row>
    <row r="333" spans="1:7" ht="15" hidden="1">
      <c r="A333" s="369" t="s">
        <v>224</v>
      </c>
      <c r="B333" s="370"/>
      <c r="C333" s="360">
        <f t="shared" si="10"/>
        <v>0</v>
      </c>
      <c r="D333" s="371"/>
      <c r="E333" s="371"/>
      <c r="F333" s="370"/>
      <c r="G333" s="360">
        <f t="shared" si="11"/>
        <v>0</v>
      </c>
    </row>
    <row r="334" spans="1:7" ht="15" hidden="1">
      <c r="A334" s="369" t="s">
        <v>225</v>
      </c>
      <c r="B334" s="370"/>
      <c r="C334" s="360">
        <f t="shared" si="10"/>
        <v>0</v>
      </c>
      <c r="D334" s="371"/>
      <c r="E334" s="371"/>
      <c r="F334" s="370"/>
      <c r="G334" s="360">
        <f t="shared" si="11"/>
        <v>0</v>
      </c>
    </row>
    <row r="335" spans="1:7" ht="15" hidden="1">
      <c r="A335" s="357" t="s">
        <v>226</v>
      </c>
      <c r="B335" s="359"/>
      <c r="C335" s="360">
        <f t="shared" si="10"/>
        <v>0</v>
      </c>
      <c r="F335" s="359"/>
      <c r="G335" s="360">
        <f t="shared" si="11"/>
        <v>0</v>
      </c>
    </row>
    <row r="336" spans="1:7" ht="15" hidden="1">
      <c r="A336" s="357" t="s">
        <v>227</v>
      </c>
      <c r="B336" s="359"/>
      <c r="C336" s="360">
        <f t="shared" si="10"/>
        <v>0</v>
      </c>
      <c r="F336" s="359"/>
      <c r="G336" s="360">
        <f t="shared" si="11"/>
        <v>0</v>
      </c>
    </row>
    <row r="337" spans="1:7" ht="15" hidden="1">
      <c r="A337" s="357" t="s">
        <v>228</v>
      </c>
      <c r="B337" s="359"/>
      <c r="C337" s="360">
        <f t="shared" si="10"/>
        <v>0</v>
      </c>
      <c r="F337" s="359"/>
      <c r="G337" s="360">
        <f t="shared" si="11"/>
        <v>0</v>
      </c>
    </row>
    <row r="338" spans="1:7" ht="15" hidden="1">
      <c r="A338" s="357" t="s">
        <v>229</v>
      </c>
      <c r="B338" s="359"/>
      <c r="C338" s="360">
        <f t="shared" si="10"/>
        <v>0</v>
      </c>
      <c r="F338" s="359"/>
      <c r="G338" s="360">
        <f t="shared" si="11"/>
        <v>0</v>
      </c>
    </row>
    <row r="339" spans="1:7" ht="15" hidden="1">
      <c r="A339" s="357" t="s">
        <v>230</v>
      </c>
      <c r="B339" s="359"/>
      <c r="C339" s="360">
        <f t="shared" si="10"/>
        <v>0</v>
      </c>
      <c r="F339" s="359"/>
      <c r="G339" s="360">
        <f t="shared" si="11"/>
        <v>0</v>
      </c>
    </row>
    <row r="340" spans="1:7" ht="15" hidden="1">
      <c r="A340" s="357" t="s">
        <v>231</v>
      </c>
      <c r="B340" s="359"/>
      <c r="C340" s="360">
        <f t="shared" si="10"/>
        <v>0</v>
      </c>
      <c r="F340" s="359"/>
      <c r="G340" s="360">
        <f t="shared" si="11"/>
        <v>0</v>
      </c>
    </row>
    <row r="341" spans="1:7" ht="15" hidden="1">
      <c r="A341" s="357" t="s">
        <v>232</v>
      </c>
      <c r="B341" s="359"/>
      <c r="C341" s="360">
        <f t="shared" si="10"/>
        <v>0</v>
      </c>
      <c r="F341" s="359"/>
      <c r="G341" s="360">
        <f t="shared" si="11"/>
        <v>0</v>
      </c>
    </row>
    <row r="342" spans="1:7" ht="15" hidden="1">
      <c r="A342" s="357" t="s">
        <v>233</v>
      </c>
      <c r="B342" s="359"/>
      <c r="C342" s="360">
        <f t="shared" si="10"/>
        <v>0</v>
      </c>
      <c r="F342" s="359"/>
      <c r="G342" s="360">
        <f t="shared" si="11"/>
        <v>0</v>
      </c>
    </row>
    <row r="343" spans="1:7" ht="15" hidden="1">
      <c r="A343" s="357" t="s">
        <v>234</v>
      </c>
      <c r="B343" s="359"/>
      <c r="C343" s="360">
        <f t="shared" si="10"/>
        <v>0</v>
      </c>
      <c r="F343" s="359"/>
      <c r="G343" s="360">
        <f t="shared" si="11"/>
        <v>0</v>
      </c>
    </row>
    <row r="344" spans="1:7" ht="15" hidden="1">
      <c r="A344" s="357" t="s">
        <v>235</v>
      </c>
      <c r="B344" s="359"/>
      <c r="C344" s="360">
        <f t="shared" si="10"/>
        <v>0</v>
      </c>
      <c r="F344" s="359"/>
      <c r="G344" s="360">
        <f t="shared" si="11"/>
        <v>0</v>
      </c>
    </row>
    <row r="345" spans="1:7" ht="15" hidden="1">
      <c r="A345" s="357" t="s">
        <v>236</v>
      </c>
      <c r="B345" s="359"/>
      <c r="C345" s="360">
        <f t="shared" si="10"/>
        <v>0</v>
      </c>
      <c r="F345" s="359"/>
      <c r="G345" s="360">
        <f t="shared" si="11"/>
        <v>0</v>
      </c>
    </row>
    <row r="346" spans="1:7" ht="15" hidden="1">
      <c r="A346" s="357" t="s">
        <v>237</v>
      </c>
      <c r="B346" s="359"/>
      <c r="C346" s="360">
        <f t="shared" si="10"/>
        <v>0</v>
      </c>
      <c r="F346" s="359"/>
      <c r="G346" s="360">
        <f t="shared" si="11"/>
        <v>0</v>
      </c>
    </row>
    <row r="347" spans="1:7" ht="15" hidden="1">
      <c r="A347" s="357" t="s">
        <v>238</v>
      </c>
      <c r="B347" s="359"/>
      <c r="C347" s="360">
        <f t="shared" si="10"/>
        <v>0</v>
      </c>
      <c r="F347" s="359"/>
      <c r="G347" s="360">
        <f t="shared" si="11"/>
        <v>0</v>
      </c>
    </row>
    <row r="348" spans="1:7" ht="15" hidden="1">
      <c r="A348" s="357" t="s">
        <v>239</v>
      </c>
      <c r="B348" s="359"/>
      <c r="C348" s="360">
        <f t="shared" si="10"/>
        <v>0</v>
      </c>
      <c r="F348" s="359"/>
      <c r="G348" s="360">
        <f t="shared" si="11"/>
        <v>0</v>
      </c>
    </row>
    <row r="349" spans="1:7" ht="15" hidden="1">
      <c r="A349" s="357" t="s">
        <v>140</v>
      </c>
      <c r="B349" s="363"/>
      <c r="C349" s="364">
        <f t="shared" si="10"/>
        <v>0</v>
      </c>
      <c r="F349" s="359"/>
      <c r="G349" s="360">
        <f t="shared" si="11"/>
        <v>0</v>
      </c>
    </row>
    <row r="350" spans="1:7" ht="15.75" hidden="1" thickBot="1">
      <c r="A350" s="357" t="s">
        <v>141</v>
      </c>
      <c r="B350" s="361">
        <f>SUM(B291:B349)</f>
        <v>0</v>
      </c>
      <c r="C350" s="362">
        <f>SUM(C291:C349)</f>
        <v>0</v>
      </c>
      <c r="F350" s="500">
        <f>SUM(F291:F349)</f>
        <v>0</v>
      </c>
      <c r="G350" s="501">
        <f>SUM(G291:G349)</f>
        <v>0</v>
      </c>
    </row>
    <row r="351" ht="15" hidden="1"/>
    <row r="352" ht="15" hidden="1"/>
    <row r="353" ht="15" hidden="1"/>
  </sheetData>
  <sheetProtection/>
  <mergeCells count="21">
    <mergeCell ref="A4:G4"/>
    <mergeCell ref="A65:G65"/>
    <mergeCell ref="A66:G66"/>
    <mergeCell ref="B70:C70"/>
    <mergeCell ref="F70:G70"/>
    <mergeCell ref="A37:G37"/>
    <mergeCell ref="A6:G6"/>
    <mergeCell ref="A38:G38"/>
    <mergeCell ref="A137:G137"/>
    <mergeCell ref="A211:G211"/>
    <mergeCell ref="A212:G212"/>
    <mergeCell ref="B216:C216"/>
    <mergeCell ref="F216:G216"/>
    <mergeCell ref="A139:G139"/>
    <mergeCell ref="A140:G140"/>
    <mergeCell ref="B144:C144"/>
    <mergeCell ref="F144:G144"/>
    <mergeCell ref="B288:C288"/>
    <mergeCell ref="F288:G288"/>
    <mergeCell ref="A283:G283"/>
    <mergeCell ref="A284:G284"/>
  </mergeCells>
  <hyperlinks>
    <hyperlink ref="A11" r:id="rId1" display="http://www.sco.ca.gov/ard_payments_lrf_recon.html"/>
    <hyperlink ref="A12:A13" r:id="rId2" display="Protective Services"/>
    <hyperlink ref="A27" r:id="rId3" display="http://www.sco.ca.gov/ard_payments_lrf_recon.html"/>
    <hyperlink ref="A28" r:id="rId4" display="http://www.sco.ca.gov/ard_payments_lrf_recon.html"/>
    <hyperlink ref="A29" r:id="rId5" display="http://www.sco.ca.gov/ard_payments_lrf_recon.html"/>
    <hyperlink ref="A12" r:id="rId6" display="http://www.sco.ca.gov/ard_payments_lrf_recon.html"/>
    <hyperlink ref="A13" r:id="rId7" display="http://www.sco.ca.gov/ard_payments_lrf_recon.html"/>
    <hyperlink ref="A30" r:id="rId8" display="http://www.sco.ca.gov/ard_payments_lrf_recon.html"/>
  </hyperlinks>
  <printOptions/>
  <pageMargins left="1.25" right="1" top="1" bottom="1" header="0.3" footer="0.3"/>
  <pageSetup fitToHeight="5" fitToWidth="1" horizontalDpi="600" verticalDpi="600" orientation="portrait" scale="61" r:id="rId9"/>
  <headerFooter alignWithMargins="0">
    <oddHeader>&amp;C&amp;"Calibri,Bold"&amp;14&amp;A</oddHeader>
    <oddFooter>&amp;L&amp;Z&amp;F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workbookViewId="0" topLeftCell="A1">
      <pane xSplit="4" ySplit="4" topLeftCell="E14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F18" sqref="F18"/>
    </sheetView>
  </sheetViews>
  <sheetFormatPr defaultColWidth="9.140625" defaultRowHeight="15" outlineLevelRow="2"/>
  <cols>
    <col min="1" max="1" width="30.00390625" style="86" customWidth="1"/>
    <col min="2" max="3" width="15.00390625" style="580" customWidth="1"/>
    <col min="4" max="4" width="19.00390625" style="0" bestFit="1" customWidth="1"/>
    <col min="5" max="6" width="13.7109375" style="0" bestFit="1" customWidth="1"/>
    <col min="7" max="7" width="12.7109375" style="0" customWidth="1"/>
    <col min="8" max="8" width="13.7109375" style="0" bestFit="1" customWidth="1"/>
    <col min="9" max="16" width="12.7109375" style="0" customWidth="1"/>
    <col min="17" max="17" width="4.57421875" style="0" customWidth="1"/>
    <col min="18" max="19" width="12.7109375" style="0" customWidth="1"/>
  </cols>
  <sheetData>
    <row r="1" spans="1:21" ht="16.5" thickBot="1">
      <c r="A1" s="510" t="s">
        <v>19</v>
      </c>
      <c r="B1" s="136"/>
      <c r="C1" s="136"/>
      <c r="D1" s="108" t="s">
        <v>8</v>
      </c>
      <c r="G1" s="24" t="s">
        <v>20</v>
      </c>
      <c r="Q1" s="386" t="s">
        <v>167</v>
      </c>
      <c r="R1" s="386"/>
      <c r="S1" s="497">
        <f>'County One Time Input-GROWTH'!D3</f>
        <v>0</v>
      </c>
      <c r="T1" s="185"/>
      <c r="U1" s="185"/>
    </row>
    <row r="2" spans="1:18" ht="15.75" thickBot="1">
      <c r="A2" s="136"/>
      <c r="B2" s="136"/>
      <c r="C2" s="136"/>
      <c r="P2" s="459"/>
      <c r="R2" s="466">
        <f>'County One Time Input-GROWTH'!C6</f>
        <v>0.65</v>
      </c>
    </row>
    <row r="3" spans="1:19" s="29" customFormat="1" ht="30.75" thickBot="1">
      <c r="A3" s="256" t="s">
        <v>21</v>
      </c>
      <c r="B3" s="257" t="s">
        <v>42</v>
      </c>
      <c r="C3" s="257" t="s">
        <v>22</v>
      </c>
      <c r="D3" s="258" t="str">
        <f>CONCATENATE("RECEIPTS THROUGH"," ",D1)</f>
        <v>RECEIPTS THROUGH OCTOBER</v>
      </c>
      <c r="E3" s="259" t="s">
        <v>7</v>
      </c>
      <c r="F3" s="259" t="s">
        <v>8</v>
      </c>
      <c r="G3" s="259" t="s">
        <v>9</v>
      </c>
      <c r="H3" s="259" t="s">
        <v>10</v>
      </c>
      <c r="I3" s="259" t="s">
        <v>11</v>
      </c>
      <c r="J3" s="259" t="s">
        <v>12</v>
      </c>
      <c r="K3" s="259" t="s">
        <v>13</v>
      </c>
      <c r="L3" s="259" t="s">
        <v>14</v>
      </c>
      <c r="M3" s="259" t="s">
        <v>15</v>
      </c>
      <c r="N3" s="259" t="s">
        <v>16</v>
      </c>
      <c r="O3" s="259" t="s">
        <v>17</v>
      </c>
      <c r="P3" s="260" t="s">
        <v>18</v>
      </c>
      <c r="R3" s="450" t="s">
        <v>181</v>
      </c>
      <c r="S3" s="450" t="s">
        <v>179</v>
      </c>
    </row>
    <row r="4" spans="1:19" ht="5.25" customHeight="1" thickBot="1">
      <c r="A4" s="30"/>
      <c r="B4" s="31"/>
      <c r="C4" s="45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420"/>
      <c r="S4" s="420"/>
    </row>
    <row r="5" spans="1:19" ht="15">
      <c r="A5" s="511" t="str">
        <f>'County One Time Input-BASE'!A11</f>
        <v>PROTECTIVE SERVICES</v>
      </c>
      <c r="B5" s="535">
        <f>'County One Time Input-BASE'!C11</f>
        <v>0.632609</v>
      </c>
      <c r="C5" s="536">
        <f>'County One Time Input-BASE'!B11</f>
        <v>1812802957.3949819</v>
      </c>
      <c r="D5" s="35">
        <f>SUM(E5:P5)+S5</f>
        <v>283976673.21000004</v>
      </c>
      <c r="E5" s="274">
        <v>145164371.66</v>
      </c>
      <c r="F5" s="274">
        <v>138812301.55</v>
      </c>
      <c r="G5" s="274"/>
      <c r="H5" s="274"/>
      <c r="I5" s="274"/>
      <c r="J5" s="274"/>
      <c r="K5" s="274"/>
      <c r="L5" s="274"/>
      <c r="M5" s="274"/>
      <c r="N5" s="274"/>
      <c r="O5" s="274"/>
      <c r="P5" s="460"/>
      <c r="R5" s="468">
        <f>'County One Time Input-GROWTH'!C10+'County One Time Input-GROWTH'!C13</f>
        <v>0.6181</v>
      </c>
      <c r="S5" s="452">
        <f>S$1*R$2*R5</f>
        <v>0</v>
      </c>
    </row>
    <row r="6" spans="1:19" ht="15">
      <c r="A6" s="511" t="str">
        <f>'County One Time Input-BASE'!A12</f>
        <v>BEHAVIORAL HEALTH</v>
      </c>
      <c r="B6" s="535">
        <f>'County One Time Input-BASE'!C12</f>
        <v>0.367391</v>
      </c>
      <c r="C6" s="536">
        <f>'County One Time Input-BASE'!B12</f>
        <v>1047690840.605018</v>
      </c>
      <c r="D6" s="36">
        <f>SUM(E6:P6)+S6</f>
        <v>164070278.11</v>
      </c>
      <c r="E6" s="275">
        <v>83879638.1</v>
      </c>
      <c r="F6" s="275">
        <v>80190640.01</v>
      </c>
      <c r="G6" s="275"/>
      <c r="H6" s="275"/>
      <c r="I6" s="275"/>
      <c r="J6" s="275"/>
      <c r="K6" s="275"/>
      <c r="L6" s="275"/>
      <c r="M6" s="275"/>
      <c r="N6" s="275"/>
      <c r="O6" s="275"/>
      <c r="P6" s="461"/>
      <c r="R6" s="468">
        <f>'County One Time Input-GROWTH'!C14</f>
        <v>0.3319</v>
      </c>
      <c r="S6" s="453">
        <f>S1*R2*R6</f>
        <v>0</v>
      </c>
    </row>
    <row r="7" spans="1:19" ht="15.75" thickBot="1">
      <c r="A7" s="511" t="str">
        <f>'County One Time Input-BASE'!A13</f>
        <v>WCRTS (FIXED AMT)</v>
      </c>
      <c r="B7" s="535">
        <f>'County One Time Input-BASE'!C13</f>
        <v>0</v>
      </c>
      <c r="C7" s="536">
        <f>'County One Time Input-BASE'!B13</f>
        <v>5104000</v>
      </c>
      <c r="D7" s="50">
        <f>SUM(E7:P7)+S7</f>
        <v>850666.66</v>
      </c>
      <c r="E7" s="276">
        <v>425333.33</v>
      </c>
      <c r="F7" s="276">
        <v>425333.33</v>
      </c>
      <c r="G7" s="276"/>
      <c r="H7" s="276"/>
      <c r="I7" s="276"/>
      <c r="J7" s="276"/>
      <c r="K7" s="276"/>
      <c r="L7" s="276"/>
      <c r="M7" s="276"/>
      <c r="N7" s="276"/>
      <c r="O7" s="276"/>
      <c r="P7" s="462"/>
      <c r="R7" s="469">
        <f>0</f>
        <v>0</v>
      </c>
      <c r="S7" s="454">
        <v>0</v>
      </c>
    </row>
    <row r="8" spans="1:19" ht="15.75" thickBot="1">
      <c r="A8" s="512" t="s">
        <v>24</v>
      </c>
      <c r="B8" s="537">
        <f>SUM(B5:B7)</f>
        <v>1</v>
      </c>
      <c r="C8" s="538">
        <f>SUM(C5:C7)</f>
        <v>2865597798</v>
      </c>
      <c r="D8" s="105">
        <f>SUM(E8:P8)+S8</f>
        <v>448897617.98</v>
      </c>
      <c r="E8" s="54">
        <f aca="true" t="shared" si="0" ref="E8:S8">SUM(E5:E7)</f>
        <v>229469343.09</v>
      </c>
      <c r="F8" s="54">
        <f t="shared" si="0"/>
        <v>219428274.89000002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09">
        <f t="shared" si="0"/>
        <v>0</v>
      </c>
      <c r="R8" s="467"/>
      <c r="S8" s="455">
        <f t="shared" si="0"/>
        <v>0</v>
      </c>
    </row>
    <row r="9" spans="1:19" ht="15">
      <c r="A9" s="513"/>
      <c r="B9" s="539"/>
      <c r="C9" s="540"/>
      <c r="D9" s="128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463"/>
      <c r="S9" s="456"/>
    </row>
    <row r="10" spans="1:19" ht="15">
      <c r="A10" s="513"/>
      <c r="B10" s="539"/>
      <c r="C10" s="540"/>
      <c r="D10" s="112"/>
      <c r="E10" s="113"/>
      <c r="F10" s="113"/>
      <c r="G10" s="24" t="s">
        <v>82</v>
      </c>
      <c r="H10" s="113"/>
      <c r="I10" s="113"/>
      <c r="J10" s="113"/>
      <c r="K10" s="113"/>
      <c r="L10" s="113"/>
      <c r="M10" s="113"/>
      <c r="N10" s="113"/>
      <c r="O10" s="113"/>
      <c r="P10" s="463"/>
      <c r="S10" s="456"/>
    </row>
    <row r="11" spans="1:19" ht="15.75" thickBot="1">
      <c r="A11" s="513"/>
      <c r="B11" s="539"/>
      <c r="C11" s="540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463"/>
      <c r="R11" s="466">
        <f>'County One Time Input-GROWTH'!C19</f>
        <v>0.35</v>
      </c>
      <c r="S11" s="456"/>
    </row>
    <row r="12" spans="1:19" s="29" customFormat="1" ht="30.75" thickBot="1">
      <c r="A12" s="256" t="s">
        <v>21</v>
      </c>
      <c r="B12" s="257" t="s">
        <v>42</v>
      </c>
      <c r="C12" s="261" t="s">
        <v>22</v>
      </c>
      <c r="D12" s="258" t="str">
        <f>CONCATENATE("RECEIPTS THROUGH"," ",D10)</f>
        <v>RECEIPTS THROUGH </v>
      </c>
      <c r="E12" s="259" t="s">
        <v>7</v>
      </c>
      <c r="F12" s="259" t="s">
        <v>8</v>
      </c>
      <c r="G12" s="259" t="s">
        <v>9</v>
      </c>
      <c r="H12" s="259" t="s">
        <v>10</v>
      </c>
      <c r="I12" s="259" t="s">
        <v>11</v>
      </c>
      <c r="J12" s="259" t="s">
        <v>12</v>
      </c>
      <c r="K12" s="259" t="s">
        <v>13</v>
      </c>
      <c r="L12" s="259" t="s">
        <v>14</v>
      </c>
      <c r="M12" s="259" t="s">
        <v>15</v>
      </c>
      <c r="N12" s="259" t="s">
        <v>16</v>
      </c>
      <c r="O12" s="259" t="s">
        <v>17</v>
      </c>
      <c r="P12" s="464" t="s">
        <v>18</v>
      </c>
      <c r="R12" s="450" t="s">
        <v>181</v>
      </c>
      <c r="S12" s="450" t="s">
        <v>179</v>
      </c>
    </row>
    <row r="13" spans="1:19" ht="5.25" customHeight="1" thickBot="1">
      <c r="A13" s="122"/>
      <c r="B13" s="123"/>
      <c r="C13" s="131"/>
      <c r="D13" s="122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465"/>
      <c r="R13" s="472"/>
      <c r="S13" s="457"/>
    </row>
    <row r="14" spans="1:19" ht="15">
      <c r="A14" s="514" t="str">
        <f>'County One Time Input-BASE'!A27</f>
        <v>TRIAL COURT SECURITY</v>
      </c>
      <c r="B14" s="535">
        <f>'County One Time Input-BASE'!C27</f>
        <v>0.308105</v>
      </c>
      <c r="C14" s="541">
        <f>'County One Time Input-BASE'!B27</f>
        <v>492389993.479475</v>
      </c>
      <c r="D14" s="35">
        <f aca="true" t="shared" si="1" ref="D14:D20">SUM(E14:P14)+S14</f>
        <v>77133188.52</v>
      </c>
      <c r="E14" s="274">
        <v>39429262.69</v>
      </c>
      <c r="F14" s="274">
        <v>37703925.83</v>
      </c>
      <c r="G14" s="274"/>
      <c r="H14" s="274"/>
      <c r="I14" s="274"/>
      <c r="J14" s="274"/>
      <c r="K14" s="274"/>
      <c r="L14" s="274"/>
      <c r="M14" s="274"/>
      <c r="N14" s="274"/>
      <c r="O14" s="274"/>
      <c r="P14" s="460"/>
      <c r="R14" s="468">
        <f>'County One Time Input-GROWTH'!C23</f>
        <v>0.1</v>
      </c>
      <c r="S14" s="452">
        <f>S$1*R$11*R14</f>
        <v>0</v>
      </c>
    </row>
    <row r="15" spans="1:19" ht="15">
      <c r="A15" s="514" t="str">
        <f>'County One Time Input-BASE'!A28</f>
        <v>COMMUNITY CORRECTIONS</v>
      </c>
      <c r="B15" s="535">
        <f>'County One Time Input-BASE'!C28</f>
        <v>0.61996</v>
      </c>
      <c r="C15" s="541">
        <f>'County One Time Input-BASE'!B28</f>
        <v>990772951.9402</v>
      </c>
      <c r="D15" s="36">
        <f t="shared" si="1"/>
        <v>155205178.61</v>
      </c>
      <c r="E15" s="275">
        <v>79338425.85</v>
      </c>
      <c r="F15" s="275">
        <v>75866752.76</v>
      </c>
      <c r="G15" s="275"/>
      <c r="H15" s="274"/>
      <c r="I15" s="275"/>
      <c r="J15" s="275"/>
      <c r="K15" s="275"/>
      <c r="L15" s="275"/>
      <c r="M15" s="275"/>
      <c r="N15" s="275"/>
      <c r="O15" s="275"/>
      <c r="P15" s="461"/>
      <c r="R15" s="468">
        <f>'County One Time Input-GROWTH'!C24</f>
        <v>0.75</v>
      </c>
      <c r="S15" s="452">
        <f>S$1*R$11*R15</f>
        <v>0</v>
      </c>
    </row>
    <row r="16" spans="1:19" ht="15">
      <c r="A16" s="514" t="str">
        <f>'County One Time Input-BASE'!A29</f>
        <v>DA &amp; PUBLIC DEFENDER</v>
      </c>
      <c r="B16" s="535">
        <f>'County One Time Input-BASE'!C29</f>
        <v>0.010613</v>
      </c>
      <c r="C16" s="541">
        <f>'County One Time Input-BASE'!B29</f>
        <v>16960889.958935</v>
      </c>
      <c r="D16" s="36">
        <f t="shared" si="1"/>
        <v>2656933.62</v>
      </c>
      <c r="E16" s="276">
        <v>1358182.33</v>
      </c>
      <c r="F16" s="276">
        <v>1298751.29</v>
      </c>
      <c r="G16" s="276"/>
      <c r="H16" s="274"/>
      <c r="I16" s="276"/>
      <c r="J16" s="276"/>
      <c r="K16" s="276"/>
      <c r="L16" s="276"/>
      <c r="M16" s="276"/>
      <c r="N16" s="276"/>
      <c r="O16" s="276"/>
      <c r="P16" s="462"/>
      <c r="R16" s="468">
        <f>'County One Time Input-GROWTH'!C25</f>
        <v>0.05</v>
      </c>
      <c r="S16" s="452">
        <f>S$1*R$11*R16</f>
        <v>0</v>
      </c>
    </row>
    <row r="17" spans="1:19" ht="15">
      <c r="A17" s="514" t="str">
        <f>'County One Time Input-BASE'!A30</f>
        <v>JUVENILE JUSTICE</v>
      </c>
      <c r="B17" s="535">
        <f>'County One Time Input-BASE'!C30</f>
        <v>0.061322</v>
      </c>
      <c r="C17" s="541">
        <f>'County One Time Input-BASE'!B30</f>
        <v>98000159.62139</v>
      </c>
      <c r="D17" s="36">
        <f t="shared" si="1"/>
        <v>15351783.92</v>
      </c>
      <c r="E17" s="275">
        <v>7847588.47</v>
      </c>
      <c r="F17" s="275">
        <v>7504195.45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7"/>
      <c r="R17" s="468">
        <f>'County One Time Input-GROWTH'!C26</f>
        <v>0.1</v>
      </c>
      <c r="S17" s="452">
        <f>S$1*R$11*R17</f>
        <v>0</v>
      </c>
    </row>
    <row r="18" spans="1:19" s="444" customFormat="1" ht="15" outlineLevel="1">
      <c r="A18" s="515" t="s">
        <v>160</v>
      </c>
      <c r="B18" s="440">
        <f>'County One Time Input-BASE'!C31</f>
        <v>0.94481</v>
      </c>
      <c r="C18" s="441">
        <f>C17*B18</f>
        <v>92591530.81188549</v>
      </c>
      <c r="D18" s="446">
        <f t="shared" si="1"/>
        <v>14504518.9654552</v>
      </c>
      <c r="E18" s="442">
        <f>E17*$B18</f>
        <v>7414480.0623407</v>
      </c>
      <c r="F18" s="442">
        <f aca="true" t="shared" si="2" ref="F18:S18">F17*$B18</f>
        <v>7090038.9031145</v>
      </c>
      <c r="G18" s="442">
        <f t="shared" si="2"/>
        <v>0</v>
      </c>
      <c r="H18" s="442">
        <f t="shared" si="2"/>
        <v>0</v>
      </c>
      <c r="I18" s="442">
        <f t="shared" si="2"/>
        <v>0</v>
      </c>
      <c r="J18" s="442">
        <f t="shared" si="2"/>
        <v>0</v>
      </c>
      <c r="K18" s="442">
        <f t="shared" si="2"/>
        <v>0</v>
      </c>
      <c r="L18" s="442">
        <f t="shared" si="2"/>
        <v>0</v>
      </c>
      <c r="M18" s="442">
        <f t="shared" si="2"/>
        <v>0</v>
      </c>
      <c r="N18" s="442">
        <f t="shared" si="2"/>
        <v>0</v>
      </c>
      <c r="O18" s="442">
        <f t="shared" si="2"/>
        <v>0</v>
      </c>
      <c r="P18" s="443">
        <f t="shared" si="2"/>
        <v>0</v>
      </c>
      <c r="R18" s="473">
        <f>'County One Time Input-GROWTH'!C27</f>
        <v>0.94481</v>
      </c>
      <c r="S18" s="445">
        <f t="shared" si="2"/>
        <v>0</v>
      </c>
    </row>
    <row r="19" spans="1:19" s="444" customFormat="1" ht="15.75" outlineLevel="1" thickBot="1">
      <c r="A19" s="515" t="s">
        <v>161</v>
      </c>
      <c r="B19" s="440">
        <f>'County One Time Input-BASE'!C32</f>
        <v>0.05519</v>
      </c>
      <c r="C19" s="441">
        <f>C17*B19</f>
        <v>5408628.809504515</v>
      </c>
      <c r="D19" s="447">
        <f t="shared" si="1"/>
        <v>847264.9545448001</v>
      </c>
      <c r="E19" s="448">
        <f>E17*$B19</f>
        <v>433108.4076593</v>
      </c>
      <c r="F19" s="448">
        <f aca="true" t="shared" si="3" ref="F19:P19">F17*$B19</f>
        <v>414156.5468855</v>
      </c>
      <c r="G19" s="448">
        <f t="shared" si="3"/>
        <v>0</v>
      </c>
      <c r="H19" s="448">
        <f t="shared" si="3"/>
        <v>0</v>
      </c>
      <c r="I19" s="448">
        <f t="shared" si="3"/>
        <v>0</v>
      </c>
      <c r="J19" s="448">
        <f t="shared" si="3"/>
        <v>0</v>
      </c>
      <c r="K19" s="448">
        <f t="shared" si="3"/>
        <v>0</v>
      </c>
      <c r="L19" s="448">
        <f t="shared" si="3"/>
        <v>0</v>
      </c>
      <c r="M19" s="448">
        <f t="shared" si="3"/>
        <v>0</v>
      </c>
      <c r="N19" s="448">
        <f t="shared" si="3"/>
        <v>0</v>
      </c>
      <c r="O19" s="448">
        <f t="shared" si="3"/>
        <v>0</v>
      </c>
      <c r="P19" s="449">
        <f t="shared" si="3"/>
        <v>0</v>
      </c>
      <c r="R19" s="474">
        <f>'County One Time Input-GROWTH'!C28</f>
        <v>0.05519</v>
      </c>
      <c r="S19" s="458">
        <f>S17*$B19</f>
        <v>0</v>
      </c>
    </row>
    <row r="20" spans="1:19" ht="15.75" thickBot="1">
      <c r="A20" s="512" t="s">
        <v>91</v>
      </c>
      <c r="B20" s="537">
        <f>SUM(B14:B17)</f>
        <v>0.9999999999999999</v>
      </c>
      <c r="C20" s="542">
        <f>SUM(C14:C17)</f>
        <v>1598123995</v>
      </c>
      <c r="D20" s="130">
        <f t="shared" si="1"/>
        <v>250347084.67000002</v>
      </c>
      <c r="E20" s="54">
        <f aca="true" t="shared" si="4" ref="E20:P20">SUM(E14:E17)</f>
        <v>127973459.33999999</v>
      </c>
      <c r="F20" s="54">
        <f t="shared" si="4"/>
        <v>122373625.33000001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  <c r="K20" s="54">
        <f t="shared" si="4"/>
        <v>0</v>
      </c>
      <c r="L20" s="54">
        <f t="shared" si="4"/>
        <v>0</v>
      </c>
      <c r="M20" s="54">
        <f t="shared" si="4"/>
        <v>0</v>
      </c>
      <c r="N20" s="54">
        <f t="shared" si="4"/>
        <v>0</v>
      </c>
      <c r="O20" s="54">
        <f t="shared" si="4"/>
        <v>0</v>
      </c>
      <c r="P20" s="55">
        <f t="shared" si="4"/>
        <v>0</v>
      </c>
      <c r="R20" s="471"/>
      <c r="S20" s="470">
        <f>SUM(S14:S17)</f>
        <v>0</v>
      </c>
    </row>
    <row r="21" spans="1:19" ht="15.75" thickBot="1">
      <c r="A21" s="513"/>
      <c r="B21" s="539"/>
      <c r="C21" s="540"/>
      <c r="D21" s="134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S21" s="113"/>
    </row>
    <row r="22" spans="1:19" ht="15.75" thickBot="1">
      <c r="A22" s="516" t="s">
        <v>92</v>
      </c>
      <c r="B22" s="537"/>
      <c r="C22" s="543">
        <f aca="true" t="shared" si="5" ref="C22:P22">+C8+C20</f>
        <v>4463721793</v>
      </c>
      <c r="D22" s="130">
        <f t="shared" si="5"/>
        <v>699244702.6500001</v>
      </c>
      <c r="E22" s="54">
        <f t="shared" si="5"/>
        <v>357442802.43</v>
      </c>
      <c r="F22" s="54">
        <f t="shared" si="5"/>
        <v>341801900.22</v>
      </c>
      <c r="G22" s="54">
        <f t="shared" si="5"/>
        <v>0</v>
      </c>
      <c r="H22" s="54">
        <f t="shared" si="5"/>
        <v>0</v>
      </c>
      <c r="I22" s="54">
        <f t="shared" si="5"/>
        <v>0</v>
      </c>
      <c r="J22" s="54">
        <f t="shared" si="5"/>
        <v>0</v>
      </c>
      <c r="K22" s="54">
        <f t="shared" si="5"/>
        <v>0</v>
      </c>
      <c r="L22" s="54">
        <f t="shared" si="5"/>
        <v>0</v>
      </c>
      <c r="M22" s="54">
        <f t="shared" si="5"/>
        <v>0</v>
      </c>
      <c r="N22" s="54">
        <f t="shared" si="5"/>
        <v>0</v>
      </c>
      <c r="O22" s="54">
        <f t="shared" si="5"/>
        <v>0</v>
      </c>
      <c r="P22" s="55">
        <f t="shared" si="5"/>
        <v>0</v>
      </c>
      <c r="S22" s="421">
        <f>+S8+S20</f>
        <v>0</v>
      </c>
    </row>
    <row r="23" spans="1:19" ht="15">
      <c r="A23" s="513"/>
      <c r="B23" s="539"/>
      <c r="C23" s="540"/>
      <c r="D23" s="134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S23" s="113"/>
    </row>
    <row r="24" spans="1:19" ht="15">
      <c r="A24" s="513"/>
      <c r="B24" s="539"/>
      <c r="C24" s="540"/>
      <c r="D24" s="134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S24" s="113"/>
    </row>
    <row r="25" spans="2:4" ht="15">
      <c r="B25" s="86"/>
      <c r="C25" s="86"/>
      <c r="D25" s="62" t="s">
        <v>46</v>
      </c>
    </row>
    <row r="26" spans="1:19" ht="15">
      <c r="A26" s="517" t="s">
        <v>25</v>
      </c>
      <c r="B26" s="517"/>
      <c r="C26" s="517"/>
      <c r="D26" s="37" t="s">
        <v>110</v>
      </c>
      <c r="E26" s="38">
        <v>0.07334144711423515</v>
      </c>
      <c r="F26" s="38">
        <v>0.07232865021526932</v>
      </c>
      <c r="G26" s="38">
        <v>0.08702955771671084</v>
      </c>
      <c r="H26" s="38">
        <v>0.07130072150344567</v>
      </c>
      <c r="I26" s="38">
        <v>0.06993419299845241</v>
      </c>
      <c r="J26" s="38">
        <v>0.10707747488759597</v>
      </c>
      <c r="K26" s="38">
        <v>0.09422982037333755</v>
      </c>
      <c r="L26" s="38">
        <v>0.07005544955883031</v>
      </c>
      <c r="M26" s="38">
        <v>0.09535096418667911</v>
      </c>
      <c r="N26" s="38">
        <v>0.08086568210915575</v>
      </c>
      <c r="O26" s="38">
        <v>0.09566733082798996</v>
      </c>
      <c r="P26" s="39">
        <v>0.08281870850829788</v>
      </c>
      <c r="S26" s="422"/>
    </row>
    <row r="27" spans="1:19" ht="15">
      <c r="A27" s="517" t="s">
        <v>26</v>
      </c>
      <c r="B27" s="517"/>
      <c r="C27" s="517"/>
      <c r="D27" s="37" t="s">
        <v>27</v>
      </c>
      <c r="E27" s="38">
        <f>+E26</f>
        <v>0.07334144711423515</v>
      </c>
      <c r="F27" s="38">
        <f aca="true" t="shared" si="6" ref="F27:O27">+E27+F26</f>
        <v>0.14567009732950448</v>
      </c>
      <c r="G27" s="38">
        <f t="shared" si="6"/>
        <v>0.23269965504621531</v>
      </c>
      <c r="H27" s="38">
        <f t="shared" si="6"/>
        <v>0.304000376549661</v>
      </c>
      <c r="I27" s="38">
        <f t="shared" si="6"/>
        <v>0.37393456954811344</v>
      </c>
      <c r="J27" s="38">
        <f t="shared" si="6"/>
        <v>0.48101204443570944</v>
      </c>
      <c r="K27" s="38">
        <f t="shared" si="6"/>
        <v>0.5752418648090469</v>
      </c>
      <c r="L27" s="38">
        <f t="shared" si="6"/>
        <v>0.6452973143678773</v>
      </c>
      <c r="M27" s="38">
        <f t="shared" si="6"/>
        <v>0.7406482785545564</v>
      </c>
      <c r="N27" s="38">
        <f t="shared" si="6"/>
        <v>0.8215139606637122</v>
      </c>
      <c r="O27" s="38">
        <f t="shared" si="6"/>
        <v>0.9171812914917021</v>
      </c>
      <c r="P27" s="38">
        <f>+O27+P26</f>
        <v>1</v>
      </c>
      <c r="S27" s="423"/>
    </row>
    <row r="28" spans="2:19" ht="15">
      <c r="B28" s="86"/>
      <c r="C28" s="86"/>
      <c r="E28" s="106"/>
      <c r="R28" s="608"/>
      <c r="S28" s="609"/>
    </row>
    <row r="29" spans="2:19" ht="15">
      <c r="B29" s="86"/>
      <c r="C29" s="61"/>
      <c r="R29" s="608" t="str">
        <f>'County One Time Input-GROWTH'!B35</f>
        <v>PROTECTIVE SERVICES 90%</v>
      </c>
      <c r="S29" s="610">
        <f>S$1*R$2*'County One Time Input-GROWTH'!C10*0.9</f>
        <v>0</v>
      </c>
    </row>
    <row r="30" spans="18:19" ht="15">
      <c r="R30" s="608" t="str">
        <f>'County One Time Input-GROWTH'!B36</f>
        <v>PROTECTIVE SERVICES 10%</v>
      </c>
      <c r="S30" s="610">
        <f>S$1*R$2*'County One Time Input-GROWTH'!C10*0.1</f>
        <v>0</v>
      </c>
    </row>
    <row r="31" spans="1:19" ht="15">
      <c r="A31" s="86" t="s">
        <v>40</v>
      </c>
      <c r="B31" s="86"/>
      <c r="C31" s="544">
        <f>C5</f>
        <v>1812802957.3949819</v>
      </c>
      <c r="D31" s="40"/>
      <c r="R31" s="608" t="str">
        <f>'County One Time Input-GROWTH'!B37</f>
        <v>CWS ONLY</v>
      </c>
      <c r="S31" s="610">
        <f>S1*R2*'County One Time Input-GROWTH'!C13</f>
        <v>0</v>
      </c>
    </row>
    <row r="32" spans="2:3" ht="22.5" customHeight="1" thickBot="1">
      <c r="B32" s="86"/>
      <c r="C32" s="86"/>
    </row>
    <row r="33" spans="1:20" ht="49.5" thickBot="1">
      <c r="A33" s="518" t="s">
        <v>37</v>
      </c>
      <c r="B33" s="545" t="s">
        <v>38</v>
      </c>
      <c r="C33" s="545" t="s">
        <v>39</v>
      </c>
      <c r="D33" s="58" t="str">
        <f>D3</f>
        <v>RECEIPTS THROUGH OCTOBER</v>
      </c>
      <c r="E33" s="27" t="s">
        <v>7</v>
      </c>
      <c r="F33" s="27" t="s">
        <v>8</v>
      </c>
      <c r="G33" s="27" t="s">
        <v>9</v>
      </c>
      <c r="H33" s="27" t="s">
        <v>10</v>
      </c>
      <c r="I33" s="27" t="s">
        <v>11</v>
      </c>
      <c r="J33" s="27" t="s">
        <v>12</v>
      </c>
      <c r="K33" s="27" t="s">
        <v>13</v>
      </c>
      <c r="L33" s="27" t="s">
        <v>14</v>
      </c>
      <c r="M33" s="27" t="s">
        <v>15</v>
      </c>
      <c r="N33" s="27" t="s">
        <v>16</v>
      </c>
      <c r="O33" s="27" t="s">
        <v>17</v>
      </c>
      <c r="P33" s="28" t="s">
        <v>18</v>
      </c>
      <c r="R33" s="658" t="s">
        <v>300</v>
      </c>
      <c r="S33" s="658" t="s">
        <v>301</v>
      </c>
      <c r="T33" s="660" t="s">
        <v>302</v>
      </c>
    </row>
    <row r="34" spans="1:20" ht="6" customHeight="1" thickBot="1">
      <c r="A34" s="519"/>
      <c r="B34" s="546"/>
      <c r="C34" s="546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R34" s="613"/>
      <c r="S34" s="425"/>
      <c r="T34" s="661"/>
    </row>
    <row r="35" spans="1:20" ht="15">
      <c r="A35" s="520" t="s">
        <v>32</v>
      </c>
      <c r="B35" s="547">
        <f>'County One Time Input-BASE'!B43</f>
        <v>0.22691593477</v>
      </c>
      <c r="C35" s="548">
        <f aca="true" t="shared" si="7" ref="C35:C40">$C$5*$B35</f>
        <v>411353877.6311028</v>
      </c>
      <c r="D35" s="280">
        <f>SUM(E35:P35)+S35</f>
        <v>64438832.25</v>
      </c>
      <c r="E35" s="281">
        <f aca="true" t="shared" si="8" ref="E35:P40">ROUND(E$5*$B35,2)</f>
        <v>32940109.09</v>
      </c>
      <c r="F35" s="281">
        <f t="shared" si="8"/>
        <v>31498723.16</v>
      </c>
      <c r="G35" s="281">
        <f t="shared" si="8"/>
        <v>0</v>
      </c>
      <c r="H35" s="281">
        <f t="shared" si="8"/>
        <v>0</v>
      </c>
      <c r="I35" s="281">
        <f t="shared" si="8"/>
        <v>0</v>
      </c>
      <c r="J35" s="281">
        <f t="shared" si="8"/>
        <v>0</v>
      </c>
      <c r="K35" s="281">
        <f t="shared" si="8"/>
        <v>0</v>
      </c>
      <c r="L35" s="281">
        <f t="shared" si="8"/>
        <v>0</v>
      </c>
      <c r="M35" s="281">
        <f t="shared" si="8"/>
        <v>0</v>
      </c>
      <c r="N35" s="281">
        <f t="shared" si="8"/>
        <v>0</v>
      </c>
      <c r="O35" s="281">
        <f t="shared" si="8"/>
        <v>0</v>
      </c>
      <c r="P35" s="282">
        <f t="shared" si="8"/>
        <v>0</v>
      </c>
      <c r="R35" s="614">
        <f>'County One Time Input-GROWTH'!B40</f>
        <v>0.23439625260479305</v>
      </c>
      <c r="S35" s="282">
        <f>S$29*R35</f>
        <v>0</v>
      </c>
      <c r="T35" s="662" t="e">
        <f>S35/S$65</f>
        <v>#DIV/0!</v>
      </c>
    </row>
    <row r="36" spans="1:20" ht="15">
      <c r="A36" s="521" t="s">
        <v>33</v>
      </c>
      <c r="B36" s="549">
        <f>'County One Time Input-BASE'!B44</f>
        <v>0.2329775465151818</v>
      </c>
      <c r="C36" s="550">
        <f t="shared" si="7"/>
        <v>422342385.3293485</v>
      </c>
      <c r="D36" s="285">
        <f aca="true" t="shared" si="9" ref="D36:D64">SUM(E36:P36)+S36</f>
        <v>66160188.59</v>
      </c>
      <c r="E36" s="286">
        <f t="shared" si="8"/>
        <v>33820039.15</v>
      </c>
      <c r="F36" s="286">
        <f t="shared" si="8"/>
        <v>32340149.44</v>
      </c>
      <c r="G36" s="286">
        <f t="shared" si="8"/>
        <v>0</v>
      </c>
      <c r="H36" s="286">
        <f t="shared" si="8"/>
        <v>0</v>
      </c>
      <c r="I36" s="286">
        <f t="shared" si="8"/>
        <v>0</v>
      </c>
      <c r="J36" s="286">
        <f t="shared" si="8"/>
        <v>0</v>
      </c>
      <c r="K36" s="286">
        <f t="shared" si="8"/>
        <v>0</v>
      </c>
      <c r="L36" s="286">
        <f t="shared" si="8"/>
        <v>0</v>
      </c>
      <c r="M36" s="286">
        <f t="shared" si="8"/>
        <v>0</v>
      </c>
      <c r="N36" s="286">
        <f t="shared" si="8"/>
        <v>0</v>
      </c>
      <c r="O36" s="286">
        <f t="shared" si="8"/>
        <v>0</v>
      </c>
      <c r="P36" s="287">
        <f t="shared" si="8"/>
        <v>0</v>
      </c>
      <c r="R36" s="615">
        <f>'County One Time Input-GROWTH'!B41</f>
        <v>0.24065768645080035</v>
      </c>
      <c r="S36" s="287">
        <f>S$29*R36</f>
        <v>0</v>
      </c>
      <c r="T36" s="662" t="e">
        <f aca="true" t="shared" si="10" ref="T36:T57">S36/S$65</f>
        <v>#DIV/0!</v>
      </c>
    </row>
    <row r="37" spans="1:20" ht="15">
      <c r="A37" s="521" t="s">
        <v>34</v>
      </c>
      <c r="B37" s="549">
        <f>'County One Time Input-BASE'!B45</f>
        <v>0.03389982002182904</v>
      </c>
      <c r="C37" s="550">
        <f t="shared" si="7"/>
        <v>61453693.99072931</v>
      </c>
      <c r="D37" s="285">
        <f t="shared" si="9"/>
        <v>9626758.11</v>
      </c>
      <c r="E37" s="286">
        <f t="shared" si="8"/>
        <v>4921046.07</v>
      </c>
      <c r="F37" s="286">
        <f t="shared" si="8"/>
        <v>4705712.04</v>
      </c>
      <c r="G37" s="286">
        <f t="shared" si="8"/>
        <v>0</v>
      </c>
      <c r="H37" s="286">
        <f t="shared" si="8"/>
        <v>0</v>
      </c>
      <c r="I37" s="286">
        <f t="shared" si="8"/>
        <v>0</v>
      </c>
      <c r="J37" s="286">
        <f t="shared" si="8"/>
        <v>0</v>
      </c>
      <c r="K37" s="286">
        <f t="shared" si="8"/>
        <v>0</v>
      </c>
      <c r="L37" s="286">
        <f t="shared" si="8"/>
        <v>0</v>
      </c>
      <c r="M37" s="286">
        <f t="shared" si="8"/>
        <v>0</v>
      </c>
      <c r="N37" s="286">
        <f t="shared" si="8"/>
        <v>0</v>
      </c>
      <c r="O37" s="286">
        <f t="shared" si="8"/>
        <v>0</v>
      </c>
      <c r="P37" s="287">
        <f t="shared" si="8"/>
        <v>0</v>
      </c>
      <c r="R37" s="615">
        <f>'County One Time Input-GROWTH'!B42</f>
        <v>0.03501733265201325</v>
      </c>
      <c r="S37" s="287">
        <f>S$29*R37</f>
        <v>0</v>
      </c>
      <c r="T37" s="662" t="e">
        <f t="shared" si="10"/>
        <v>#DIV/0!</v>
      </c>
    </row>
    <row r="38" spans="1:20" ht="15">
      <c r="A38" s="521" t="s">
        <v>35</v>
      </c>
      <c r="B38" s="549">
        <f>'County One Time Input-BASE'!B46</f>
        <v>0.008052070425712658</v>
      </c>
      <c r="C38" s="550">
        <f t="shared" si="7"/>
        <v>14596817.080884576</v>
      </c>
      <c r="D38" s="285">
        <f t="shared" si="9"/>
        <v>2286600.17</v>
      </c>
      <c r="E38" s="286">
        <f t="shared" si="8"/>
        <v>1168873.74</v>
      </c>
      <c r="F38" s="286">
        <f t="shared" si="8"/>
        <v>1117726.43</v>
      </c>
      <c r="G38" s="286">
        <f t="shared" si="8"/>
        <v>0</v>
      </c>
      <c r="H38" s="286">
        <f t="shared" si="8"/>
        <v>0</v>
      </c>
      <c r="I38" s="286">
        <f t="shared" si="8"/>
        <v>0</v>
      </c>
      <c r="J38" s="286">
        <f t="shared" si="8"/>
        <v>0</v>
      </c>
      <c r="K38" s="286">
        <f t="shared" si="8"/>
        <v>0</v>
      </c>
      <c r="L38" s="286">
        <f t="shared" si="8"/>
        <v>0</v>
      </c>
      <c r="M38" s="286">
        <f t="shared" si="8"/>
        <v>0</v>
      </c>
      <c r="N38" s="286">
        <f t="shared" si="8"/>
        <v>0</v>
      </c>
      <c r="O38" s="286">
        <f t="shared" si="8"/>
        <v>0</v>
      </c>
      <c r="P38" s="287">
        <f t="shared" si="8"/>
        <v>0</v>
      </c>
      <c r="R38" s="615">
        <f>'County One Time Input-GROWTH'!B43</f>
        <v>0.008317508117231767</v>
      </c>
      <c r="S38" s="287">
        <f>S$29*R38</f>
        <v>0</v>
      </c>
      <c r="T38" s="662" t="e">
        <f t="shared" si="10"/>
        <v>#DIV/0!</v>
      </c>
    </row>
    <row r="39" spans="1:20" ht="15">
      <c r="A39" s="521" t="s">
        <v>30</v>
      </c>
      <c r="B39" s="549">
        <f>'County One Time Input-BASE'!B47</f>
        <v>0.0327991876549578</v>
      </c>
      <c r="C39" s="550">
        <f t="shared" si="7"/>
        <v>59458464.38106047</v>
      </c>
      <c r="D39" s="285">
        <f t="shared" si="9"/>
        <v>9314204.2</v>
      </c>
      <c r="E39" s="286">
        <f t="shared" si="8"/>
        <v>4761273.47</v>
      </c>
      <c r="F39" s="286">
        <f t="shared" si="8"/>
        <v>4552930.73</v>
      </c>
      <c r="G39" s="286">
        <f t="shared" si="8"/>
        <v>0</v>
      </c>
      <c r="H39" s="286">
        <f t="shared" si="8"/>
        <v>0</v>
      </c>
      <c r="I39" s="286">
        <f t="shared" si="8"/>
        <v>0</v>
      </c>
      <c r="J39" s="286">
        <f t="shared" si="8"/>
        <v>0</v>
      </c>
      <c r="K39" s="286">
        <f t="shared" si="8"/>
        <v>0</v>
      </c>
      <c r="L39" s="286">
        <f t="shared" si="8"/>
        <v>0</v>
      </c>
      <c r="M39" s="286">
        <f t="shared" si="8"/>
        <v>0</v>
      </c>
      <c r="N39" s="286">
        <f t="shared" si="8"/>
        <v>0</v>
      </c>
      <c r="O39" s="286">
        <f t="shared" si="8"/>
        <v>0</v>
      </c>
      <c r="P39" s="287">
        <f t="shared" si="8"/>
        <v>0</v>
      </c>
      <c r="R39" s="615">
        <f>'County One Time Input-GROWTH'!B44</f>
        <v>0.03388041781004986</v>
      </c>
      <c r="S39" s="287">
        <f>S$29*R39</f>
        <v>0</v>
      </c>
      <c r="T39" s="662" t="e">
        <f t="shared" si="10"/>
        <v>#DIV/0!</v>
      </c>
    </row>
    <row r="40" spans="1:20" ht="15">
      <c r="A40" s="521" t="s">
        <v>36</v>
      </c>
      <c r="B40" s="549">
        <f>'County One Time Input-BASE'!B48</f>
        <v>0.3994674505491578</v>
      </c>
      <c r="C40" s="550">
        <f t="shared" si="7"/>
        <v>724155775.7385468</v>
      </c>
      <c r="D40" s="285">
        <f t="shared" si="9"/>
        <v>113439437.67</v>
      </c>
      <c r="E40" s="286">
        <f t="shared" si="8"/>
        <v>57988441.46</v>
      </c>
      <c r="F40" s="286">
        <f t="shared" si="8"/>
        <v>55450996.21</v>
      </c>
      <c r="G40" s="286">
        <f t="shared" si="8"/>
        <v>0</v>
      </c>
      <c r="H40" s="286">
        <f t="shared" si="8"/>
        <v>0</v>
      </c>
      <c r="I40" s="286">
        <f t="shared" si="8"/>
        <v>0</v>
      </c>
      <c r="J40" s="286">
        <f t="shared" si="8"/>
        <v>0</v>
      </c>
      <c r="K40" s="286">
        <f t="shared" si="8"/>
        <v>0</v>
      </c>
      <c r="L40" s="286">
        <f t="shared" si="8"/>
        <v>0</v>
      </c>
      <c r="M40" s="286">
        <f t="shared" si="8"/>
        <v>0</v>
      </c>
      <c r="N40" s="286">
        <f t="shared" si="8"/>
        <v>0</v>
      </c>
      <c r="O40" s="286">
        <f t="shared" si="8"/>
        <v>0</v>
      </c>
      <c r="P40" s="287">
        <f t="shared" si="8"/>
        <v>0</v>
      </c>
      <c r="R40" s="615">
        <f>'County One Time Input-GROWTH'!B45</f>
        <v>0.412635955148062</v>
      </c>
      <c r="S40" s="287">
        <f>(S$29*R40)+S30+S31</f>
        <v>0</v>
      </c>
      <c r="T40" s="662" t="e">
        <f t="shared" si="10"/>
        <v>#DIV/0!</v>
      </c>
    </row>
    <row r="41" spans="1:20" ht="15" hidden="1" outlineLevel="1">
      <c r="A41" s="522"/>
      <c r="B41" s="551" t="s">
        <v>73</v>
      </c>
      <c r="C41" s="552"/>
      <c r="D41" s="291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3"/>
      <c r="R41" s="616"/>
      <c r="S41" s="293"/>
      <c r="T41" s="662" t="e">
        <f t="shared" si="10"/>
        <v>#DIV/0!</v>
      </c>
    </row>
    <row r="42" spans="1:20" ht="15" hidden="1" outlineLevel="1">
      <c r="A42" s="523" t="s">
        <v>48</v>
      </c>
      <c r="B42" s="553">
        <v>0.0015778427</v>
      </c>
      <c r="C42" s="552">
        <f>$C$40*B42</f>
        <v>1142603.9044119031</v>
      </c>
      <c r="D42" s="291">
        <f t="shared" si="9"/>
        <v>178989.5886197145</v>
      </c>
      <c r="E42" s="292">
        <f>+E$40*$B42</f>
        <v>91496.63904203834</v>
      </c>
      <c r="F42" s="292">
        <f aca="true" t="shared" si="11" ref="F42:S54">+F$40*$B42</f>
        <v>87492.94957767616</v>
      </c>
      <c r="G42" s="292">
        <f t="shared" si="11"/>
        <v>0</v>
      </c>
      <c r="H42" s="292">
        <f t="shared" si="11"/>
        <v>0</v>
      </c>
      <c r="I42" s="292">
        <f t="shared" si="11"/>
        <v>0</v>
      </c>
      <c r="J42" s="292">
        <f t="shared" si="11"/>
        <v>0</v>
      </c>
      <c r="K42" s="292">
        <f t="shared" si="11"/>
        <v>0</v>
      </c>
      <c r="L42" s="292">
        <f t="shared" si="11"/>
        <v>0</v>
      </c>
      <c r="M42" s="292">
        <f t="shared" si="11"/>
        <v>0</v>
      </c>
      <c r="N42" s="292">
        <f t="shared" si="11"/>
        <v>0</v>
      </c>
      <c r="O42" s="292">
        <f t="shared" si="11"/>
        <v>0</v>
      </c>
      <c r="P42" s="293">
        <f t="shared" si="11"/>
        <v>0</v>
      </c>
      <c r="R42" s="617"/>
      <c r="S42" s="293">
        <f t="shared" si="11"/>
        <v>0</v>
      </c>
      <c r="T42" s="662" t="e">
        <f t="shared" si="10"/>
        <v>#DIV/0!</v>
      </c>
    </row>
    <row r="43" spans="1:20" ht="15" hidden="1" outlineLevel="1">
      <c r="A43" s="523" t="s">
        <v>49</v>
      </c>
      <c r="B43" s="553">
        <v>0.0083709851</v>
      </c>
      <c r="C43" s="552">
        <f aca="true" t="shared" si="12" ref="C43:C54">$C$40*B43</f>
        <v>6061897.208786317</v>
      </c>
      <c r="D43" s="291">
        <f t="shared" si="9"/>
        <v>949599.8424879488</v>
      </c>
      <c r="E43" s="292">
        <f aca="true" t="shared" si="13" ref="E43:E54">+E$40*$B43</f>
        <v>485420.3794338823</v>
      </c>
      <c r="F43" s="292">
        <f t="shared" si="11"/>
        <v>464179.4630540665</v>
      </c>
      <c r="G43" s="292">
        <f t="shared" si="11"/>
        <v>0</v>
      </c>
      <c r="H43" s="292">
        <f t="shared" si="11"/>
        <v>0</v>
      </c>
      <c r="I43" s="292">
        <f t="shared" si="11"/>
        <v>0</v>
      </c>
      <c r="J43" s="292">
        <f t="shared" si="11"/>
        <v>0</v>
      </c>
      <c r="K43" s="292">
        <f t="shared" si="11"/>
        <v>0</v>
      </c>
      <c r="L43" s="292">
        <f t="shared" si="11"/>
        <v>0</v>
      </c>
      <c r="M43" s="292">
        <f t="shared" si="11"/>
        <v>0</v>
      </c>
      <c r="N43" s="292">
        <f t="shared" si="11"/>
        <v>0</v>
      </c>
      <c r="O43" s="292">
        <f t="shared" si="11"/>
        <v>0</v>
      </c>
      <c r="P43" s="293">
        <f t="shared" si="11"/>
        <v>0</v>
      </c>
      <c r="R43" s="617"/>
      <c r="S43" s="293">
        <f t="shared" si="11"/>
        <v>0</v>
      </c>
      <c r="T43" s="662" t="e">
        <f t="shared" si="10"/>
        <v>#DIV/0!</v>
      </c>
    </row>
    <row r="44" spans="1:20" ht="15" hidden="1" outlineLevel="1">
      <c r="A44" s="523" t="s">
        <v>50</v>
      </c>
      <c r="B44" s="553">
        <v>0.0093834527</v>
      </c>
      <c r="C44" s="552">
        <f t="shared" si="12"/>
        <v>6795081.469074462</v>
      </c>
      <c r="D44" s="291">
        <f t="shared" si="9"/>
        <v>1064453.5976910433</v>
      </c>
      <c r="E44" s="292">
        <f t="shared" si="13"/>
        <v>544131.7975866289</v>
      </c>
      <c r="F44" s="292">
        <f t="shared" si="11"/>
        <v>520321.80010441423</v>
      </c>
      <c r="G44" s="292">
        <f t="shared" si="11"/>
        <v>0</v>
      </c>
      <c r="H44" s="292">
        <f t="shared" si="11"/>
        <v>0</v>
      </c>
      <c r="I44" s="292">
        <f t="shared" si="11"/>
        <v>0</v>
      </c>
      <c r="J44" s="292">
        <f t="shared" si="11"/>
        <v>0</v>
      </c>
      <c r="K44" s="292">
        <f t="shared" si="11"/>
        <v>0</v>
      </c>
      <c r="L44" s="292">
        <f t="shared" si="11"/>
        <v>0</v>
      </c>
      <c r="M44" s="292">
        <f t="shared" si="11"/>
        <v>0</v>
      </c>
      <c r="N44" s="292">
        <f t="shared" si="11"/>
        <v>0</v>
      </c>
      <c r="O44" s="292">
        <f t="shared" si="11"/>
        <v>0</v>
      </c>
      <c r="P44" s="293">
        <f t="shared" si="11"/>
        <v>0</v>
      </c>
      <c r="R44" s="617"/>
      <c r="S44" s="293">
        <f t="shared" si="11"/>
        <v>0</v>
      </c>
      <c r="T44" s="662" t="e">
        <f t="shared" si="10"/>
        <v>#DIV/0!</v>
      </c>
    </row>
    <row r="45" spans="1:20" ht="15" hidden="1" outlineLevel="1">
      <c r="A45" s="523" t="s">
        <v>51</v>
      </c>
      <c r="B45" s="553">
        <v>0.0146007374</v>
      </c>
      <c r="C45" s="552">
        <f t="shared" si="12"/>
        <v>10573208.318251813</v>
      </c>
      <c r="D45" s="291">
        <f t="shared" si="9"/>
        <v>1656299.4402233378</v>
      </c>
      <c r="E45" s="292">
        <f t="shared" si="13"/>
        <v>846674.0059927326</v>
      </c>
      <c r="F45" s="292">
        <f t="shared" si="11"/>
        <v>809625.4342306053</v>
      </c>
      <c r="G45" s="292">
        <f t="shared" si="11"/>
        <v>0</v>
      </c>
      <c r="H45" s="292">
        <f t="shared" si="11"/>
        <v>0</v>
      </c>
      <c r="I45" s="292">
        <f t="shared" si="11"/>
        <v>0</v>
      </c>
      <c r="J45" s="292">
        <f t="shared" si="11"/>
        <v>0</v>
      </c>
      <c r="K45" s="292">
        <f t="shared" si="11"/>
        <v>0</v>
      </c>
      <c r="L45" s="292">
        <f t="shared" si="11"/>
        <v>0</v>
      </c>
      <c r="M45" s="292">
        <f t="shared" si="11"/>
        <v>0</v>
      </c>
      <c r="N45" s="292">
        <f t="shared" si="11"/>
        <v>0</v>
      </c>
      <c r="O45" s="292">
        <f t="shared" si="11"/>
        <v>0</v>
      </c>
      <c r="P45" s="293">
        <f t="shared" si="11"/>
        <v>0</v>
      </c>
      <c r="R45" s="617"/>
      <c r="S45" s="293">
        <f t="shared" si="11"/>
        <v>0</v>
      </c>
      <c r="T45" s="662" t="e">
        <f t="shared" si="10"/>
        <v>#DIV/0!</v>
      </c>
    </row>
    <row r="46" spans="1:20" ht="15" hidden="1" outlineLevel="1">
      <c r="A46" s="523" t="s">
        <v>52</v>
      </c>
      <c r="B46" s="553">
        <v>0.0011031938</v>
      </c>
      <c r="C46" s="552">
        <f t="shared" si="12"/>
        <v>798884.1620289553</v>
      </c>
      <c r="D46" s="291">
        <f t="shared" si="9"/>
        <v>125145.68431303045</v>
      </c>
      <c r="E46" s="292">
        <f t="shared" si="13"/>
        <v>63972.48909033495</v>
      </c>
      <c r="F46" s="292">
        <f t="shared" si="11"/>
        <v>61173.195222695496</v>
      </c>
      <c r="G46" s="292">
        <f t="shared" si="11"/>
        <v>0</v>
      </c>
      <c r="H46" s="292">
        <f t="shared" si="11"/>
        <v>0</v>
      </c>
      <c r="I46" s="292">
        <f t="shared" si="11"/>
        <v>0</v>
      </c>
      <c r="J46" s="292">
        <f t="shared" si="11"/>
        <v>0</v>
      </c>
      <c r="K46" s="292">
        <f t="shared" si="11"/>
        <v>0</v>
      </c>
      <c r="L46" s="292">
        <f t="shared" si="11"/>
        <v>0</v>
      </c>
      <c r="M46" s="292">
        <f t="shared" si="11"/>
        <v>0</v>
      </c>
      <c r="N46" s="292">
        <f t="shared" si="11"/>
        <v>0</v>
      </c>
      <c r="O46" s="292">
        <f t="shared" si="11"/>
        <v>0</v>
      </c>
      <c r="P46" s="293">
        <f t="shared" si="11"/>
        <v>0</v>
      </c>
      <c r="R46" s="617"/>
      <c r="S46" s="293">
        <f t="shared" si="11"/>
        <v>0</v>
      </c>
      <c r="T46" s="662" t="e">
        <f t="shared" si="10"/>
        <v>#DIV/0!</v>
      </c>
    </row>
    <row r="47" spans="1:20" ht="15" hidden="1" outlineLevel="1">
      <c r="A47" s="523" t="s">
        <v>53</v>
      </c>
      <c r="B47" s="553">
        <v>0.0013877496</v>
      </c>
      <c r="C47" s="552">
        <f t="shared" si="12"/>
        <v>1004946.8881188581</v>
      </c>
      <c r="D47" s="291">
        <f t="shared" si="9"/>
        <v>157425.53425076744</v>
      </c>
      <c r="E47" s="292">
        <f t="shared" si="13"/>
        <v>80473.43644073841</v>
      </c>
      <c r="F47" s="292">
        <f t="shared" si="11"/>
        <v>76952.09781002901</v>
      </c>
      <c r="G47" s="292">
        <f t="shared" si="11"/>
        <v>0</v>
      </c>
      <c r="H47" s="292">
        <f t="shared" si="11"/>
        <v>0</v>
      </c>
      <c r="I47" s="292">
        <f t="shared" si="11"/>
        <v>0</v>
      </c>
      <c r="J47" s="292">
        <f t="shared" si="11"/>
        <v>0</v>
      </c>
      <c r="K47" s="292">
        <f t="shared" si="11"/>
        <v>0</v>
      </c>
      <c r="L47" s="292">
        <f t="shared" si="11"/>
        <v>0</v>
      </c>
      <c r="M47" s="292">
        <f t="shared" si="11"/>
        <v>0</v>
      </c>
      <c r="N47" s="292">
        <f t="shared" si="11"/>
        <v>0</v>
      </c>
      <c r="O47" s="292">
        <f t="shared" si="11"/>
        <v>0</v>
      </c>
      <c r="P47" s="293">
        <f t="shared" si="11"/>
        <v>0</v>
      </c>
      <c r="R47" s="617"/>
      <c r="S47" s="293">
        <f t="shared" si="11"/>
        <v>0</v>
      </c>
      <c r="T47" s="662" t="e">
        <f t="shared" si="10"/>
        <v>#DIV/0!</v>
      </c>
    </row>
    <row r="48" spans="1:20" ht="15" hidden="1" outlineLevel="1">
      <c r="A48" s="523" t="s">
        <v>54</v>
      </c>
      <c r="B48" s="553">
        <v>0</v>
      </c>
      <c r="C48" s="552">
        <f t="shared" si="12"/>
        <v>0</v>
      </c>
      <c r="D48" s="291">
        <f t="shared" si="9"/>
        <v>0</v>
      </c>
      <c r="E48" s="292">
        <f t="shared" si="13"/>
        <v>0</v>
      </c>
      <c r="F48" s="292">
        <f t="shared" si="11"/>
        <v>0</v>
      </c>
      <c r="G48" s="292">
        <f t="shared" si="11"/>
        <v>0</v>
      </c>
      <c r="H48" s="292">
        <f t="shared" si="11"/>
        <v>0</v>
      </c>
      <c r="I48" s="292">
        <f t="shared" si="11"/>
        <v>0</v>
      </c>
      <c r="J48" s="292">
        <f t="shared" si="11"/>
        <v>0</v>
      </c>
      <c r="K48" s="292">
        <f t="shared" si="11"/>
        <v>0</v>
      </c>
      <c r="L48" s="292">
        <f t="shared" si="11"/>
        <v>0</v>
      </c>
      <c r="M48" s="292">
        <f t="shared" si="11"/>
        <v>0</v>
      </c>
      <c r="N48" s="292">
        <f t="shared" si="11"/>
        <v>0</v>
      </c>
      <c r="O48" s="292">
        <f t="shared" si="11"/>
        <v>0</v>
      </c>
      <c r="P48" s="293">
        <f t="shared" si="11"/>
        <v>0</v>
      </c>
      <c r="R48" s="617"/>
      <c r="S48" s="293">
        <f t="shared" si="11"/>
        <v>0</v>
      </c>
      <c r="T48" s="662" t="e">
        <f t="shared" si="10"/>
        <v>#DIV/0!</v>
      </c>
    </row>
    <row r="49" spans="1:20" ht="15" hidden="1" outlineLevel="1">
      <c r="A49" s="523" t="s">
        <v>55</v>
      </c>
      <c r="B49" s="553">
        <v>0.0731161313</v>
      </c>
      <c r="C49" s="552">
        <f t="shared" si="12"/>
        <v>52947468.780552946</v>
      </c>
      <c r="D49" s="291">
        <f t="shared" si="9"/>
        <v>8294252.819277886</v>
      </c>
      <c r="E49" s="292">
        <f t="shared" si="13"/>
        <v>4239890.499671724</v>
      </c>
      <c r="F49" s="292">
        <f t="shared" si="11"/>
        <v>4054362.319606162</v>
      </c>
      <c r="G49" s="292">
        <f t="shared" si="11"/>
        <v>0</v>
      </c>
      <c r="H49" s="292">
        <f t="shared" si="11"/>
        <v>0</v>
      </c>
      <c r="I49" s="292">
        <f t="shared" si="11"/>
        <v>0</v>
      </c>
      <c r="J49" s="292">
        <f t="shared" si="11"/>
        <v>0</v>
      </c>
      <c r="K49" s="292">
        <f t="shared" si="11"/>
        <v>0</v>
      </c>
      <c r="L49" s="292">
        <f t="shared" si="11"/>
        <v>0</v>
      </c>
      <c r="M49" s="292">
        <f t="shared" si="11"/>
        <v>0</v>
      </c>
      <c r="N49" s="292">
        <f t="shared" si="11"/>
        <v>0</v>
      </c>
      <c r="O49" s="292">
        <f t="shared" si="11"/>
        <v>0</v>
      </c>
      <c r="P49" s="293">
        <f t="shared" si="11"/>
        <v>0</v>
      </c>
      <c r="R49" s="617"/>
      <c r="S49" s="293">
        <f t="shared" si="11"/>
        <v>0</v>
      </c>
      <c r="T49" s="662" t="e">
        <f t="shared" si="10"/>
        <v>#DIV/0!</v>
      </c>
    </row>
    <row r="50" spans="1:20" ht="15" hidden="1" outlineLevel="1">
      <c r="A50" s="523" t="s">
        <v>56</v>
      </c>
      <c r="B50" s="553">
        <v>0.156273218</v>
      </c>
      <c r="C50" s="552">
        <f t="shared" si="12"/>
        <v>113166153.40794903</v>
      </c>
      <c r="D50" s="291">
        <f t="shared" si="9"/>
        <v>17727545.97280132</v>
      </c>
      <c r="E50" s="292">
        <f t="shared" si="13"/>
        <v>9062040.353758818</v>
      </c>
      <c r="F50" s="292">
        <f t="shared" si="11"/>
        <v>8665505.619042503</v>
      </c>
      <c r="G50" s="292">
        <f t="shared" si="11"/>
        <v>0</v>
      </c>
      <c r="H50" s="292">
        <f t="shared" si="11"/>
        <v>0</v>
      </c>
      <c r="I50" s="292">
        <f t="shared" si="11"/>
        <v>0</v>
      </c>
      <c r="J50" s="292">
        <f t="shared" si="11"/>
        <v>0</v>
      </c>
      <c r="K50" s="292">
        <f t="shared" si="11"/>
        <v>0</v>
      </c>
      <c r="L50" s="292">
        <f t="shared" si="11"/>
        <v>0</v>
      </c>
      <c r="M50" s="292">
        <f t="shared" si="11"/>
        <v>0</v>
      </c>
      <c r="N50" s="292">
        <f t="shared" si="11"/>
        <v>0</v>
      </c>
      <c r="O50" s="292">
        <f t="shared" si="11"/>
        <v>0</v>
      </c>
      <c r="P50" s="293">
        <f t="shared" si="11"/>
        <v>0</v>
      </c>
      <c r="R50" s="617"/>
      <c r="S50" s="293">
        <f t="shared" si="11"/>
        <v>0</v>
      </c>
      <c r="T50" s="662" t="e">
        <f t="shared" si="10"/>
        <v>#DIV/0!</v>
      </c>
    </row>
    <row r="51" spans="1:20" ht="15" hidden="1" outlineLevel="1">
      <c r="A51" s="523" t="s">
        <v>57</v>
      </c>
      <c r="B51" s="553">
        <v>0.001167648</v>
      </c>
      <c r="C51" s="552">
        <f t="shared" si="12"/>
        <v>845559.0432295628</v>
      </c>
      <c r="D51" s="291">
        <f t="shared" si="9"/>
        <v>132457.33251650017</v>
      </c>
      <c r="E51" s="292">
        <f t="shared" si="13"/>
        <v>67710.08769388609</v>
      </c>
      <c r="F51" s="292">
        <f t="shared" si="11"/>
        <v>64747.244822614084</v>
      </c>
      <c r="G51" s="292">
        <f t="shared" si="11"/>
        <v>0</v>
      </c>
      <c r="H51" s="292">
        <f t="shared" si="11"/>
        <v>0</v>
      </c>
      <c r="I51" s="292">
        <f t="shared" si="11"/>
        <v>0</v>
      </c>
      <c r="J51" s="292">
        <f t="shared" si="11"/>
        <v>0</v>
      </c>
      <c r="K51" s="292">
        <f t="shared" si="11"/>
        <v>0</v>
      </c>
      <c r="L51" s="292">
        <f t="shared" si="11"/>
        <v>0</v>
      </c>
      <c r="M51" s="292">
        <f t="shared" si="11"/>
        <v>0</v>
      </c>
      <c r="N51" s="292">
        <f t="shared" si="11"/>
        <v>0</v>
      </c>
      <c r="O51" s="292">
        <f t="shared" si="11"/>
        <v>0</v>
      </c>
      <c r="P51" s="293">
        <f t="shared" si="11"/>
        <v>0</v>
      </c>
      <c r="R51" s="617"/>
      <c r="S51" s="293">
        <f t="shared" si="11"/>
        <v>0</v>
      </c>
      <c r="T51" s="662" t="e">
        <f t="shared" si="10"/>
        <v>#DIV/0!</v>
      </c>
    </row>
    <row r="52" spans="1:20" ht="15" hidden="1" outlineLevel="1">
      <c r="A52" s="523" t="s">
        <v>58</v>
      </c>
      <c r="B52" s="553">
        <v>0.0147322145</v>
      </c>
      <c r="C52" s="552">
        <f t="shared" si="12"/>
        <v>10668418.219594168</v>
      </c>
      <c r="D52" s="291">
        <f t="shared" si="9"/>
        <v>1671214.1285138202</v>
      </c>
      <c r="E52" s="292">
        <f t="shared" si="13"/>
        <v>854298.1581094132</v>
      </c>
      <c r="F52" s="292">
        <f t="shared" si="11"/>
        <v>816915.970404407</v>
      </c>
      <c r="G52" s="292">
        <f t="shared" si="11"/>
        <v>0</v>
      </c>
      <c r="H52" s="292">
        <f t="shared" si="11"/>
        <v>0</v>
      </c>
      <c r="I52" s="292">
        <f t="shared" si="11"/>
        <v>0</v>
      </c>
      <c r="J52" s="292">
        <f t="shared" si="11"/>
        <v>0</v>
      </c>
      <c r="K52" s="292">
        <f t="shared" si="11"/>
        <v>0</v>
      </c>
      <c r="L52" s="292">
        <f t="shared" si="11"/>
        <v>0</v>
      </c>
      <c r="M52" s="292">
        <f t="shared" si="11"/>
        <v>0</v>
      </c>
      <c r="N52" s="292">
        <f t="shared" si="11"/>
        <v>0</v>
      </c>
      <c r="O52" s="292">
        <f t="shared" si="11"/>
        <v>0</v>
      </c>
      <c r="P52" s="293">
        <f t="shared" si="11"/>
        <v>0</v>
      </c>
      <c r="R52" s="617"/>
      <c r="S52" s="293">
        <f t="shared" si="11"/>
        <v>0</v>
      </c>
      <c r="T52" s="662" t="e">
        <f t="shared" si="10"/>
        <v>#DIV/0!</v>
      </c>
    </row>
    <row r="53" spans="1:20" ht="15" hidden="1" outlineLevel="1">
      <c r="A53" s="523" t="s">
        <v>59</v>
      </c>
      <c r="B53" s="553">
        <v>0.1723665597</v>
      </c>
      <c r="C53" s="552">
        <f t="shared" si="12"/>
        <v>124820239.75093806</v>
      </c>
      <c r="D53" s="291">
        <f t="shared" si="9"/>
        <v>19553165.605480485</v>
      </c>
      <c r="E53" s="292">
        <f t="shared" si="13"/>
        <v>9995268.156825045</v>
      </c>
      <c r="F53" s="292">
        <f t="shared" si="11"/>
        <v>9557897.44865544</v>
      </c>
      <c r="G53" s="292">
        <f t="shared" si="11"/>
        <v>0</v>
      </c>
      <c r="H53" s="292">
        <f t="shared" si="11"/>
        <v>0</v>
      </c>
      <c r="I53" s="292">
        <f t="shared" si="11"/>
        <v>0</v>
      </c>
      <c r="J53" s="292">
        <f t="shared" si="11"/>
        <v>0</v>
      </c>
      <c r="K53" s="292">
        <f t="shared" si="11"/>
        <v>0</v>
      </c>
      <c r="L53" s="292">
        <f t="shared" si="11"/>
        <v>0</v>
      </c>
      <c r="M53" s="292">
        <f t="shared" si="11"/>
        <v>0</v>
      </c>
      <c r="N53" s="292">
        <f t="shared" si="11"/>
        <v>0</v>
      </c>
      <c r="O53" s="292">
        <f t="shared" si="11"/>
        <v>0</v>
      </c>
      <c r="P53" s="293">
        <f t="shared" si="11"/>
        <v>0</v>
      </c>
      <c r="R53" s="617"/>
      <c r="S53" s="293">
        <f t="shared" si="11"/>
        <v>0</v>
      </c>
      <c r="T53" s="662" t="e">
        <f t="shared" si="10"/>
        <v>#DIV/0!</v>
      </c>
    </row>
    <row r="54" spans="1:20" ht="15" hidden="1" outlineLevel="1">
      <c r="A54" s="524" t="s">
        <v>60</v>
      </c>
      <c r="B54" s="553">
        <v>0.5459202672</v>
      </c>
      <c r="C54" s="552">
        <f t="shared" si="12"/>
        <v>395331314.58561075</v>
      </c>
      <c r="D54" s="291">
        <f t="shared" si="9"/>
        <v>61928888.12382414</v>
      </c>
      <c r="E54" s="292">
        <f t="shared" si="13"/>
        <v>31657065.456354756</v>
      </c>
      <c r="F54" s="292">
        <f t="shared" si="11"/>
        <v>30271822.667469386</v>
      </c>
      <c r="G54" s="292">
        <f t="shared" si="11"/>
        <v>0</v>
      </c>
      <c r="H54" s="292">
        <f t="shared" si="11"/>
        <v>0</v>
      </c>
      <c r="I54" s="292">
        <f t="shared" si="11"/>
        <v>0</v>
      </c>
      <c r="J54" s="292">
        <f t="shared" si="11"/>
        <v>0</v>
      </c>
      <c r="K54" s="292">
        <f t="shared" si="11"/>
        <v>0</v>
      </c>
      <c r="L54" s="292">
        <f t="shared" si="11"/>
        <v>0</v>
      </c>
      <c r="M54" s="292">
        <f t="shared" si="11"/>
        <v>0</v>
      </c>
      <c r="N54" s="292">
        <f t="shared" si="11"/>
        <v>0</v>
      </c>
      <c r="O54" s="292">
        <f t="shared" si="11"/>
        <v>0</v>
      </c>
      <c r="P54" s="293">
        <f t="shared" si="11"/>
        <v>0</v>
      </c>
      <c r="R54" s="617"/>
      <c r="S54" s="293">
        <f t="shared" si="11"/>
        <v>0</v>
      </c>
      <c r="T54" s="662" t="e">
        <f t="shared" si="10"/>
        <v>#DIV/0!</v>
      </c>
    </row>
    <row r="55" spans="1:20" ht="15" hidden="1" outlineLevel="1">
      <c r="A55" s="525" t="s">
        <v>80</v>
      </c>
      <c r="B55" s="298">
        <f>SUBTOTAL(9,B42:B54)</f>
        <v>1</v>
      </c>
      <c r="C55" s="299">
        <f>SUBTOTAL(9,C42:C54)</f>
        <v>724155775.7385468</v>
      </c>
      <c r="D55" s="299">
        <f t="shared" si="9"/>
        <v>113439437.66999999</v>
      </c>
      <c r="E55" s="299">
        <f aca="true" t="shared" si="14" ref="E55:S55">SUBTOTAL(9,E42:E54)</f>
        <v>57988441.45999999</v>
      </c>
      <c r="F55" s="299">
        <f t="shared" si="14"/>
        <v>55450996.20999999</v>
      </c>
      <c r="G55" s="299">
        <f t="shared" si="14"/>
        <v>0</v>
      </c>
      <c r="H55" s="299">
        <f t="shared" si="14"/>
        <v>0</v>
      </c>
      <c r="I55" s="299">
        <f t="shared" si="14"/>
        <v>0</v>
      </c>
      <c r="J55" s="299">
        <f t="shared" si="14"/>
        <v>0</v>
      </c>
      <c r="K55" s="299">
        <f t="shared" si="14"/>
        <v>0</v>
      </c>
      <c r="L55" s="299">
        <f t="shared" si="14"/>
        <v>0</v>
      </c>
      <c r="M55" s="299">
        <f t="shared" si="14"/>
        <v>0</v>
      </c>
      <c r="N55" s="299">
        <f t="shared" si="14"/>
        <v>0</v>
      </c>
      <c r="O55" s="299">
        <f t="shared" si="14"/>
        <v>0</v>
      </c>
      <c r="P55" s="321">
        <f t="shared" si="14"/>
        <v>0</v>
      </c>
      <c r="R55" s="618"/>
      <c r="S55" s="321">
        <f t="shared" si="14"/>
        <v>0</v>
      </c>
      <c r="T55" s="662" t="e">
        <f t="shared" si="10"/>
        <v>#DIV/0!</v>
      </c>
    </row>
    <row r="56" spans="1:20" ht="15" collapsed="1">
      <c r="A56" s="521" t="s">
        <v>28</v>
      </c>
      <c r="B56" s="554">
        <f>'County One Time Input-BASE'!B49</f>
        <v>0.02317577627420125</v>
      </c>
      <c r="C56" s="550">
        <f>$C$5*$B56</f>
        <v>42013115.76979648</v>
      </c>
      <c r="D56" s="285">
        <f t="shared" si="9"/>
        <v>6581379.84</v>
      </c>
      <c r="E56" s="286">
        <f aca="true" t="shared" si="15" ref="E56:P57">ROUND(E$5*$B56,2)</f>
        <v>3364297</v>
      </c>
      <c r="F56" s="286">
        <f t="shared" si="15"/>
        <v>3217082.84</v>
      </c>
      <c r="G56" s="286">
        <f t="shared" si="15"/>
        <v>0</v>
      </c>
      <c r="H56" s="286">
        <f t="shared" si="15"/>
        <v>0</v>
      </c>
      <c r="I56" s="286">
        <f t="shared" si="15"/>
        <v>0</v>
      </c>
      <c r="J56" s="286">
        <f t="shared" si="15"/>
        <v>0</v>
      </c>
      <c r="K56" s="286">
        <f t="shared" si="15"/>
        <v>0</v>
      </c>
      <c r="L56" s="286">
        <f t="shared" si="15"/>
        <v>0</v>
      </c>
      <c r="M56" s="286">
        <f t="shared" si="15"/>
        <v>0</v>
      </c>
      <c r="N56" s="286">
        <f t="shared" si="15"/>
        <v>0</v>
      </c>
      <c r="O56" s="286">
        <f t="shared" si="15"/>
        <v>0</v>
      </c>
      <c r="P56" s="287">
        <f t="shared" si="15"/>
        <v>0</v>
      </c>
      <c r="R56" s="619">
        <f>'County One Time Input-GROWTH'!B46</f>
        <v>0.011292437660975426</v>
      </c>
      <c r="S56" s="287">
        <f>S$29*R56</f>
        <v>0</v>
      </c>
      <c r="T56" s="662" t="e">
        <f t="shared" si="10"/>
        <v>#DIV/0!</v>
      </c>
    </row>
    <row r="57" spans="1:20" ht="15">
      <c r="A57" s="526" t="s">
        <v>29</v>
      </c>
      <c r="B57" s="554">
        <f>'County One Time Input-BASE'!B50</f>
        <v>0.023042800193349238</v>
      </c>
      <c r="C57" s="550">
        <f>$C$5*$B57</f>
        <v>41772056.33716516</v>
      </c>
      <c r="D57" s="285">
        <f t="shared" si="9"/>
        <v>6543617.74</v>
      </c>
      <c r="E57" s="286">
        <f t="shared" si="15"/>
        <v>3344993.61</v>
      </c>
      <c r="F57" s="286">
        <f t="shared" si="15"/>
        <v>3198624.13</v>
      </c>
      <c r="G57" s="286">
        <f t="shared" si="15"/>
        <v>0</v>
      </c>
      <c r="H57" s="286">
        <f t="shared" si="15"/>
        <v>0</v>
      </c>
      <c r="I57" s="286">
        <f t="shared" si="15"/>
        <v>0</v>
      </c>
      <c r="J57" s="286">
        <f t="shared" si="15"/>
        <v>0</v>
      </c>
      <c r="K57" s="286">
        <f t="shared" si="15"/>
        <v>0</v>
      </c>
      <c r="L57" s="286">
        <f t="shared" si="15"/>
        <v>0</v>
      </c>
      <c r="M57" s="286">
        <f t="shared" si="15"/>
        <v>0</v>
      </c>
      <c r="N57" s="286">
        <f t="shared" si="15"/>
        <v>0</v>
      </c>
      <c r="O57" s="286">
        <f t="shared" si="15"/>
        <v>0</v>
      </c>
      <c r="P57" s="287">
        <f t="shared" si="15"/>
        <v>0</v>
      </c>
      <c r="R57" s="619">
        <f>'County One Time Input-GROWTH'!B47</f>
        <v>0.02380240955607418</v>
      </c>
      <c r="S57" s="287">
        <f>S$29*R57</f>
        <v>0</v>
      </c>
      <c r="T57" s="662" t="e">
        <f t="shared" si="10"/>
        <v>#DIV/0!</v>
      </c>
    </row>
    <row r="58" spans="1:20" ht="15" hidden="1" outlineLevel="1">
      <c r="A58" s="522"/>
      <c r="B58" s="551" t="s">
        <v>72</v>
      </c>
      <c r="C58" s="552"/>
      <c r="D58" s="291">
        <f t="shared" si="9"/>
        <v>0</v>
      </c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  <c r="R58" s="616"/>
      <c r="S58" s="293"/>
      <c r="T58" s="662"/>
    </row>
    <row r="59" spans="1:20" ht="15" hidden="1" outlineLevel="1">
      <c r="A59" s="523" t="s">
        <v>29</v>
      </c>
      <c r="B59" s="553">
        <v>0.6750743897</v>
      </c>
      <c r="C59" s="552">
        <f>$C$57*B59</f>
        <v>28199245.43832579</v>
      </c>
      <c r="D59" s="291">
        <f t="shared" si="9"/>
        <v>4417428.752260594</v>
      </c>
      <c r="E59" s="292">
        <f>E$57*$B59</f>
        <v>2258119.5198211498</v>
      </c>
      <c r="F59" s="292">
        <f aca="true" t="shared" si="16" ref="F59:S59">F$57*$B59</f>
        <v>2159309.2324394435</v>
      </c>
      <c r="G59" s="292">
        <f t="shared" si="16"/>
        <v>0</v>
      </c>
      <c r="H59" s="292">
        <f t="shared" si="16"/>
        <v>0</v>
      </c>
      <c r="I59" s="292">
        <f t="shared" si="16"/>
        <v>0</v>
      </c>
      <c r="J59" s="292">
        <f t="shared" si="16"/>
        <v>0</v>
      </c>
      <c r="K59" s="292">
        <f t="shared" si="16"/>
        <v>0</v>
      </c>
      <c r="L59" s="292">
        <f t="shared" si="16"/>
        <v>0</v>
      </c>
      <c r="M59" s="292">
        <f t="shared" si="16"/>
        <v>0</v>
      </c>
      <c r="N59" s="292">
        <f t="shared" si="16"/>
        <v>0</v>
      </c>
      <c r="O59" s="292">
        <f t="shared" si="16"/>
        <v>0</v>
      </c>
      <c r="P59" s="293">
        <f t="shared" si="16"/>
        <v>0</v>
      </c>
      <c r="R59" s="617"/>
      <c r="S59" s="293">
        <f t="shared" si="16"/>
        <v>0</v>
      </c>
      <c r="T59" s="662"/>
    </row>
    <row r="60" spans="1:20" ht="15" hidden="1" outlineLevel="1">
      <c r="A60" s="523" t="s">
        <v>61</v>
      </c>
      <c r="B60" s="553">
        <v>0.3152138903</v>
      </c>
      <c r="C60" s="552">
        <f>$C$57*B60</f>
        <v>13167132.3838686</v>
      </c>
      <c r="D60" s="291">
        <f t="shared" si="9"/>
        <v>2062639.204461494</v>
      </c>
      <c r="E60" s="292">
        <f aca="true" t="shared" si="17" ref="E60:S61">E$57*$B60</f>
        <v>1054388.448836741</v>
      </c>
      <c r="F60" s="292">
        <f t="shared" si="17"/>
        <v>1008250.755624753</v>
      </c>
      <c r="G60" s="292">
        <f t="shared" si="17"/>
        <v>0</v>
      </c>
      <c r="H60" s="292">
        <f t="shared" si="17"/>
        <v>0</v>
      </c>
      <c r="I60" s="292">
        <f t="shared" si="17"/>
        <v>0</v>
      </c>
      <c r="J60" s="292">
        <f t="shared" si="17"/>
        <v>0</v>
      </c>
      <c r="K60" s="292">
        <f t="shared" si="17"/>
        <v>0</v>
      </c>
      <c r="L60" s="292">
        <f t="shared" si="17"/>
        <v>0</v>
      </c>
      <c r="M60" s="292">
        <f t="shared" si="17"/>
        <v>0</v>
      </c>
      <c r="N60" s="292">
        <f t="shared" si="17"/>
        <v>0</v>
      </c>
      <c r="O60" s="292">
        <f t="shared" si="17"/>
        <v>0</v>
      </c>
      <c r="P60" s="293">
        <f t="shared" si="17"/>
        <v>0</v>
      </c>
      <c r="R60" s="617"/>
      <c r="S60" s="293">
        <f t="shared" si="17"/>
        <v>0</v>
      </c>
      <c r="T60" s="662"/>
    </row>
    <row r="61" spans="1:20" ht="15" hidden="1" outlineLevel="1">
      <c r="A61" s="524" t="s">
        <v>62</v>
      </c>
      <c r="B61" s="553">
        <v>0.00971172</v>
      </c>
      <c r="C61" s="552">
        <f>$C$57*B61</f>
        <v>405678.51497077366</v>
      </c>
      <c r="D61" s="291">
        <f t="shared" si="9"/>
        <v>63549.7832779128</v>
      </c>
      <c r="E61" s="292">
        <f t="shared" si="17"/>
        <v>32485.6413421092</v>
      </c>
      <c r="F61" s="292">
        <f t="shared" si="17"/>
        <v>31064.1419358036</v>
      </c>
      <c r="G61" s="292">
        <f t="shared" si="17"/>
        <v>0</v>
      </c>
      <c r="H61" s="292">
        <f t="shared" si="17"/>
        <v>0</v>
      </c>
      <c r="I61" s="292">
        <f t="shared" si="17"/>
        <v>0</v>
      </c>
      <c r="J61" s="292">
        <f t="shared" si="17"/>
        <v>0</v>
      </c>
      <c r="K61" s="292">
        <f t="shared" si="17"/>
        <v>0</v>
      </c>
      <c r="L61" s="292">
        <f t="shared" si="17"/>
        <v>0</v>
      </c>
      <c r="M61" s="292">
        <f t="shared" si="17"/>
        <v>0</v>
      </c>
      <c r="N61" s="292">
        <f t="shared" si="17"/>
        <v>0</v>
      </c>
      <c r="O61" s="292">
        <f t="shared" si="17"/>
        <v>0</v>
      </c>
      <c r="P61" s="293">
        <f t="shared" si="17"/>
        <v>0</v>
      </c>
      <c r="R61" s="617"/>
      <c r="S61" s="293">
        <f t="shared" si="17"/>
        <v>0</v>
      </c>
      <c r="T61" s="662"/>
    </row>
    <row r="62" spans="1:20" ht="15" hidden="1" outlineLevel="1">
      <c r="A62" s="525" t="s">
        <v>81</v>
      </c>
      <c r="B62" s="553">
        <f>SUBTOTAL(9,B59:B61)</f>
        <v>1</v>
      </c>
      <c r="C62" s="552">
        <f>SUBTOTAL(9,C59:C61)</f>
        <v>41772056.33716516</v>
      </c>
      <c r="D62" s="290">
        <f t="shared" si="9"/>
        <v>6543617.74</v>
      </c>
      <c r="E62" s="290">
        <f aca="true" t="shared" si="18" ref="E62:S62">SUBTOTAL(9,E59:E61)</f>
        <v>3344993.61</v>
      </c>
      <c r="F62" s="290">
        <f t="shared" si="18"/>
        <v>3198624.13</v>
      </c>
      <c r="G62" s="290">
        <f t="shared" si="18"/>
        <v>0</v>
      </c>
      <c r="H62" s="290">
        <f t="shared" si="18"/>
        <v>0</v>
      </c>
      <c r="I62" s="290">
        <f t="shared" si="18"/>
        <v>0</v>
      </c>
      <c r="J62" s="290">
        <f t="shared" si="18"/>
        <v>0</v>
      </c>
      <c r="K62" s="290">
        <f t="shared" si="18"/>
        <v>0</v>
      </c>
      <c r="L62" s="290">
        <f t="shared" si="18"/>
        <v>0</v>
      </c>
      <c r="M62" s="290">
        <f t="shared" si="18"/>
        <v>0</v>
      </c>
      <c r="N62" s="290">
        <f t="shared" si="18"/>
        <v>0</v>
      </c>
      <c r="O62" s="290">
        <f t="shared" si="18"/>
        <v>0</v>
      </c>
      <c r="P62" s="314">
        <f t="shared" si="18"/>
        <v>0</v>
      </c>
      <c r="R62" s="617"/>
      <c r="S62" s="314">
        <f t="shared" si="18"/>
        <v>0</v>
      </c>
      <c r="T62" s="662"/>
    </row>
    <row r="63" spans="1:20" ht="15" collapsed="1">
      <c r="A63" s="526" t="s">
        <v>31</v>
      </c>
      <c r="B63" s="554">
        <f>'County One Time Input-BASE'!B51</f>
        <v>0.0196694136</v>
      </c>
      <c r="C63" s="550">
        <f>$C$5*$B63</f>
        <v>35656771.14430508</v>
      </c>
      <c r="D63" s="285">
        <f t="shared" si="9"/>
        <v>5585654.64</v>
      </c>
      <c r="E63" s="286">
        <f aca="true" t="shared" si="19" ref="E63:P64">ROUND(E$5*$B63,2)</f>
        <v>2855298.07</v>
      </c>
      <c r="F63" s="286">
        <f t="shared" si="19"/>
        <v>2730356.57</v>
      </c>
      <c r="G63" s="286">
        <f t="shared" si="19"/>
        <v>0</v>
      </c>
      <c r="H63" s="286">
        <f t="shared" si="19"/>
        <v>0</v>
      </c>
      <c r="I63" s="286">
        <f t="shared" si="19"/>
        <v>0</v>
      </c>
      <c r="J63" s="286">
        <f t="shared" si="19"/>
        <v>0</v>
      </c>
      <c r="K63" s="286">
        <f t="shared" si="19"/>
        <v>0</v>
      </c>
      <c r="L63" s="286">
        <f t="shared" si="19"/>
        <v>0</v>
      </c>
      <c r="M63" s="286">
        <f t="shared" si="19"/>
        <v>0</v>
      </c>
      <c r="N63" s="286">
        <f t="shared" si="19"/>
        <v>0</v>
      </c>
      <c r="O63" s="286">
        <f t="shared" si="19"/>
        <v>0</v>
      </c>
      <c r="P63" s="287">
        <f t="shared" si="19"/>
        <v>0</v>
      </c>
      <c r="R63" s="619">
        <f>'County One Time Input-GROWTH'!B48</f>
        <v>0</v>
      </c>
      <c r="S63" s="287">
        <f>S$29*R63</f>
        <v>0</v>
      </c>
      <c r="T63" s="662" t="e">
        <f>S63/S$65</f>
        <v>#DIV/0!</v>
      </c>
    </row>
    <row r="64" spans="1:20" ht="15.75" collapsed="1" thickBot="1">
      <c r="A64" s="378"/>
      <c r="B64" s="555">
        <f>'County One Time Input-BASE'!B52</f>
        <v>0</v>
      </c>
      <c r="C64" s="556">
        <f>$C$5*$B64</f>
        <v>0</v>
      </c>
      <c r="D64" s="308">
        <f t="shared" si="9"/>
        <v>0</v>
      </c>
      <c r="E64" s="309">
        <f t="shared" si="19"/>
        <v>0</v>
      </c>
      <c r="F64" s="309">
        <f t="shared" si="19"/>
        <v>0</v>
      </c>
      <c r="G64" s="309">
        <f t="shared" si="19"/>
        <v>0</v>
      </c>
      <c r="H64" s="309">
        <f t="shared" si="19"/>
        <v>0</v>
      </c>
      <c r="I64" s="309">
        <f t="shared" si="19"/>
        <v>0</v>
      </c>
      <c r="J64" s="309">
        <f t="shared" si="19"/>
        <v>0</v>
      </c>
      <c r="K64" s="309">
        <f t="shared" si="19"/>
        <v>0</v>
      </c>
      <c r="L64" s="309">
        <f t="shared" si="19"/>
        <v>0</v>
      </c>
      <c r="M64" s="309">
        <f t="shared" si="19"/>
        <v>0</v>
      </c>
      <c r="N64" s="309">
        <f t="shared" si="19"/>
        <v>0</v>
      </c>
      <c r="O64" s="309">
        <f t="shared" si="19"/>
        <v>0</v>
      </c>
      <c r="P64" s="310">
        <f t="shared" si="19"/>
        <v>0</v>
      </c>
      <c r="R64" s="620"/>
      <c r="S64" s="310">
        <f>S$29*R64</f>
        <v>0</v>
      </c>
      <c r="T64" s="662" t="e">
        <f>S64/S$65</f>
        <v>#DIV/0!</v>
      </c>
    </row>
    <row r="65" spans="1:20" ht="15.75" thickBot="1">
      <c r="A65" s="518" t="s">
        <v>95</v>
      </c>
      <c r="B65" s="557">
        <f>+B35+B36+B37+B38+B39+B40+B56+B57+B63+B64</f>
        <v>1.0000000000043896</v>
      </c>
      <c r="C65" s="558">
        <f>+C35+C36+C37+C38+C39+C40+C56+C57+C63+C64</f>
        <v>1812802957.402939</v>
      </c>
      <c r="D65" s="66">
        <f>+D35+D36+D37+D38+D39+D40+D56+D57+D63+D64</f>
        <v>283976673.2099999</v>
      </c>
      <c r="E65" s="66">
        <f>+E35+E36+E37+E38+E39+E40+E56+E57+E63+E64</f>
        <v>145164371.66</v>
      </c>
      <c r="F65" s="66">
        <f aca="true" t="shared" si="20" ref="F65:S65">+F35+F36+F37+F38+F39+F40+F56+F57+F63+F64</f>
        <v>138812301.55</v>
      </c>
      <c r="G65" s="66">
        <f t="shared" si="20"/>
        <v>0</v>
      </c>
      <c r="H65" s="66">
        <f t="shared" si="20"/>
        <v>0</v>
      </c>
      <c r="I65" s="66">
        <f t="shared" si="20"/>
        <v>0</v>
      </c>
      <c r="J65" s="66">
        <f t="shared" si="20"/>
        <v>0</v>
      </c>
      <c r="K65" s="66">
        <f t="shared" si="20"/>
        <v>0</v>
      </c>
      <c r="L65" s="66">
        <f t="shared" si="20"/>
        <v>0</v>
      </c>
      <c r="M65" s="66">
        <f t="shared" si="20"/>
        <v>0</v>
      </c>
      <c r="N65" s="66">
        <f t="shared" si="20"/>
        <v>0</v>
      </c>
      <c r="O65" s="66">
        <f t="shared" si="20"/>
        <v>0</v>
      </c>
      <c r="P65" s="68">
        <f t="shared" si="20"/>
        <v>0</v>
      </c>
      <c r="R65" s="659">
        <f>+R35+R36+R37+R38+R39+R40+R56+R57+R63+R64</f>
        <v>1</v>
      </c>
      <c r="S65" s="68">
        <f t="shared" si="20"/>
        <v>0</v>
      </c>
      <c r="T65" s="663" t="e">
        <f>+T35+T36+T37+T38+T39+T40+T56+T57+T63+T64</f>
        <v>#DIV/0!</v>
      </c>
    </row>
    <row r="76" spans="1:4" ht="15">
      <c r="A76" s="86" t="s">
        <v>43</v>
      </c>
      <c r="B76" s="86"/>
      <c r="C76" s="544">
        <f>C6</f>
        <v>1047690840.605018</v>
      </c>
      <c r="D76" s="40"/>
    </row>
    <row r="77" spans="2:3" ht="15.75" thickBot="1">
      <c r="B77" s="86"/>
      <c r="C77" s="86"/>
    </row>
    <row r="78" spans="1:19" ht="45.75" thickBot="1">
      <c r="A78" s="518" t="s">
        <v>37</v>
      </c>
      <c r="B78" s="545" t="s">
        <v>38</v>
      </c>
      <c r="C78" s="545" t="s">
        <v>39</v>
      </c>
      <c r="D78" s="58" t="str">
        <f>D3</f>
        <v>RECEIPTS THROUGH OCTOBER</v>
      </c>
      <c r="E78" s="27" t="s">
        <v>7</v>
      </c>
      <c r="F78" s="27" t="s">
        <v>8</v>
      </c>
      <c r="G78" s="27" t="s">
        <v>9</v>
      </c>
      <c r="H78" s="27" t="s">
        <v>10</v>
      </c>
      <c r="I78" s="27" t="s">
        <v>11</v>
      </c>
      <c r="J78" s="27" t="s">
        <v>12</v>
      </c>
      <c r="K78" s="27" t="s">
        <v>13</v>
      </c>
      <c r="L78" s="27" t="s">
        <v>14</v>
      </c>
      <c r="M78" s="27" t="s">
        <v>15</v>
      </c>
      <c r="N78" s="27" t="s">
        <v>16</v>
      </c>
      <c r="O78" s="27" t="s">
        <v>17</v>
      </c>
      <c r="P78" s="28" t="s">
        <v>18</v>
      </c>
      <c r="R78" s="450" t="s">
        <v>181</v>
      </c>
      <c r="S78" s="424" t="s">
        <v>178</v>
      </c>
    </row>
    <row r="79" spans="1:19" ht="4.5" customHeight="1" thickBot="1">
      <c r="A79" s="519"/>
      <c r="B79" s="546"/>
      <c r="C79" s="546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4"/>
      <c r="R79" s="613"/>
      <c r="S79" s="425"/>
    </row>
    <row r="80" spans="1:19" ht="15">
      <c r="A80" s="527" t="s">
        <v>44</v>
      </c>
      <c r="B80" s="559">
        <f>'County One Time Input-BASE'!B60</f>
        <v>0.1860292278185457</v>
      </c>
      <c r="C80" s="560">
        <f>C$76*B80</f>
        <v>194901118.07031456</v>
      </c>
      <c r="D80" s="280">
        <f>SUM(E80:P80)+S80</f>
        <v>30521867.15</v>
      </c>
      <c r="E80" s="281">
        <f aca="true" t="shared" si="21" ref="E80:P80">ROUND(E$6*$B80,2)</f>
        <v>15604064.31</v>
      </c>
      <c r="F80" s="281">
        <f t="shared" si="21"/>
        <v>14917802.84</v>
      </c>
      <c r="G80" s="281">
        <f t="shared" si="21"/>
        <v>0</v>
      </c>
      <c r="H80" s="281">
        <f t="shared" si="21"/>
        <v>0</v>
      </c>
      <c r="I80" s="281">
        <f t="shared" si="21"/>
        <v>0</v>
      </c>
      <c r="J80" s="281">
        <f t="shared" si="21"/>
        <v>0</v>
      </c>
      <c r="K80" s="281">
        <f t="shared" si="21"/>
        <v>0</v>
      </c>
      <c r="L80" s="281">
        <f t="shared" si="21"/>
        <v>0</v>
      </c>
      <c r="M80" s="281">
        <f t="shared" si="21"/>
        <v>0</v>
      </c>
      <c r="N80" s="281">
        <f t="shared" si="21"/>
        <v>0</v>
      </c>
      <c r="O80" s="281">
        <f t="shared" si="21"/>
        <v>0</v>
      </c>
      <c r="P80" s="282">
        <f t="shared" si="21"/>
        <v>0</v>
      </c>
      <c r="R80" s="621">
        <f>'County One Time Input-GROWTH'!B57</f>
        <v>0.1860292278185457</v>
      </c>
      <c r="S80" s="426">
        <f>S6*R80</f>
        <v>0</v>
      </c>
    </row>
    <row r="81" spans="1:19" ht="15" hidden="1" outlineLevel="1">
      <c r="A81" s="522"/>
      <c r="B81" s="551" t="s">
        <v>71</v>
      </c>
      <c r="C81" s="552"/>
      <c r="D81" s="291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3"/>
      <c r="R81" s="622"/>
      <c r="S81" s="428"/>
    </row>
    <row r="82" spans="1:19" ht="15" hidden="1" outlineLevel="1">
      <c r="A82" s="523" t="s">
        <v>63</v>
      </c>
      <c r="B82" s="553">
        <v>0.7344973076556713</v>
      </c>
      <c r="C82" s="552">
        <f>C$80*B82</f>
        <v>143154346.48172617</v>
      </c>
      <c r="D82" s="291">
        <f>SUM(E82:P82)+S82</f>
        <v>22418229.24629908</v>
      </c>
      <c r="E82" s="292">
        <f>E$80*$B82</f>
        <v>11461143.224180952</v>
      </c>
      <c r="F82" s="292">
        <f aca="true" t="shared" si="22" ref="F82:S82">F$80*$B82</f>
        <v>10957086.022118127</v>
      </c>
      <c r="G82" s="292">
        <f t="shared" si="22"/>
        <v>0</v>
      </c>
      <c r="H82" s="292">
        <f t="shared" si="22"/>
        <v>0</v>
      </c>
      <c r="I82" s="292">
        <f t="shared" si="22"/>
        <v>0</v>
      </c>
      <c r="J82" s="292">
        <f t="shared" si="22"/>
        <v>0</v>
      </c>
      <c r="K82" s="292">
        <f t="shared" si="22"/>
        <v>0</v>
      </c>
      <c r="L82" s="292">
        <f t="shared" si="22"/>
        <v>0</v>
      </c>
      <c r="M82" s="292">
        <f t="shared" si="22"/>
        <v>0</v>
      </c>
      <c r="N82" s="292">
        <f t="shared" si="22"/>
        <v>0</v>
      </c>
      <c r="O82" s="292">
        <f t="shared" si="22"/>
        <v>0</v>
      </c>
      <c r="P82" s="293">
        <f t="shared" si="22"/>
        <v>0</v>
      </c>
      <c r="R82" s="623"/>
      <c r="S82" s="428">
        <f t="shared" si="22"/>
        <v>0</v>
      </c>
    </row>
    <row r="83" spans="1:19" ht="15" hidden="1" outlineLevel="1">
      <c r="A83" s="523" t="s">
        <v>64</v>
      </c>
      <c r="B83" s="553">
        <v>0.11505079313494221</v>
      </c>
      <c r="C83" s="552">
        <f>$C$80*B83</f>
        <v>22423528.216876708</v>
      </c>
      <c r="D83" s="291">
        <f>SUM(E83:P83)+S83</f>
        <v>3511565.0235668384</v>
      </c>
      <c r="E83" s="292">
        <f aca="true" t="shared" si="23" ref="E83:S84">E$80*$B83</f>
        <v>1795259.9749941449</v>
      </c>
      <c r="F83" s="292">
        <f t="shared" si="23"/>
        <v>1716305.0485726933</v>
      </c>
      <c r="G83" s="292">
        <f t="shared" si="23"/>
        <v>0</v>
      </c>
      <c r="H83" s="292">
        <f t="shared" si="23"/>
        <v>0</v>
      </c>
      <c r="I83" s="292">
        <f t="shared" si="23"/>
        <v>0</v>
      </c>
      <c r="J83" s="292">
        <f t="shared" si="23"/>
        <v>0</v>
      </c>
      <c r="K83" s="292">
        <f t="shared" si="23"/>
        <v>0</v>
      </c>
      <c r="L83" s="292">
        <f t="shared" si="23"/>
        <v>0</v>
      </c>
      <c r="M83" s="292">
        <f t="shared" si="23"/>
        <v>0</v>
      </c>
      <c r="N83" s="292">
        <f t="shared" si="23"/>
        <v>0</v>
      </c>
      <c r="O83" s="292">
        <f t="shared" si="23"/>
        <v>0</v>
      </c>
      <c r="P83" s="293">
        <f t="shared" si="23"/>
        <v>0</v>
      </c>
      <c r="R83" s="623"/>
      <c r="S83" s="428">
        <f t="shared" si="23"/>
        <v>0</v>
      </c>
    </row>
    <row r="84" spans="1:19" ht="15" hidden="1" outlineLevel="1">
      <c r="A84" s="524" t="s">
        <v>65</v>
      </c>
      <c r="B84" s="553">
        <v>0.1504518992093865</v>
      </c>
      <c r="C84" s="552">
        <f>$C$80*B84</f>
        <v>29323243.371711705</v>
      </c>
      <c r="D84" s="291">
        <f>SUM(E84:P84)+S84</f>
        <v>4592072.880134085</v>
      </c>
      <c r="E84" s="292">
        <f t="shared" si="23"/>
        <v>2347661.1108249053</v>
      </c>
      <c r="F84" s="292">
        <f t="shared" si="23"/>
        <v>2244411.76930918</v>
      </c>
      <c r="G84" s="292">
        <f t="shared" si="23"/>
        <v>0</v>
      </c>
      <c r="H84" s="292">
        <f t="shared" si="23"/>
        <v>0</v>
      </c>
      <c r="I84" s="292">
        <f t="shared" si="23"/>
        <v>0</v>
      </c>
      <c r="J84" s="292">
        <f t="shared" si="23"/>
        <v>0</v>
      </c>
      <c r="K84" s="292">
        <f t="shared" si="23"/>
        <v>0</v>
      </c>
      <c r="L84" s="292">
        <f t="shared" si="23"/>
        <v>0</v>
      </c>
      <c r="M84" s="292">
        <f t="shared" si="23"/>
        <v>0</v>
      </c>
      <c r="N84" s="292">
        <f t="shared" si="23"/>
        <v>0</v>
      </c>
      <c r="O84" s="292">
        <f t="shared" si="23"/>
        <v>0</v>
      </c>
      <c r="P84" s="293">
        <f t="shared" si="23"/>
        <v>0</v>
      </c>
      <c r="R84" s="623"/>
      <c r="S84" s="428">
        <f t="shared" si="23"/>
        <v>0</v>
      </c>
    </row>
    <row r="85" spans="1:19" ht="15" hidden="1" outlineLevel="1">
      <c r="A85" s="525" t="s">
        <v>77</v>
      </c>
      <c r="B85" s="553">
        <f aca="true" t="shared" si="24" ref="B85:S85">SUBTOTAL(9,B82:B84)</f>
        <v>1</v>
      </c>
      <c r="C85" s="552">
        <f t="shared" si="24"/>
        <v>194901118.0703146</v>
      </c>
      <c r="D85" s="291">
        <f>SUM(E85:P85)+S85</f>
        <v>30521867.150000002</v>
      </c>
      <c r="E85" s="290">
        <f t="shared" si="24"/>
        <v>15604064.310000002</v>
      </c>
      <c r="F85" s="290">
        <f t="shared" si="24"/>
        <v>14917802.84</v>
      </c>
      <c r="G85" s="290">
        <f t="shared" si="24"/>
        <v>0</v>
      </c>
      <c r="H85" s="290">
        <f t="shared" si="24"/>
        <v>0</v>
      </c>
      <c r="I85" s="290">
        <f t="shared" si="24"/>
        <v>0</v>
      </c>
      <c r="J85" s="290">
        <f t="shared" si="24"/>
        <v>0</v>
      </c>
      <c r="K85" s="290">
        <f t="shared" si="24"/>
        <v>0</v>
      </c>
      <c r="L85" s="290">
        <f t="shared" si="24"/>
        <v>0</v>
      </c>
      <c r="M85" s="290">
        <f t="shared" si="24"/>
        <v>0</v>
      </c>
      <c r="N85" s="290">
        <f t="shared" si="24"/>
        <v>0</v>
      </c>
      <c r="O85" s="290">
        <f t="shared" si="24"/>
        <v>0</v>
      </c>
      <c r="P85" s="314">
        <f t="shared" si="24"/>
        <v>0</v>
      </c>
      <c r="R85" s="623"/>
      <c r="S85" s="429">
        <f t="shared" si="24"/>
        <v>0</v>
      </c>
    </row>
    <row r="86" spans="1:19" ht="15.75" collapsed="1" thickBot="1">
      <c r="A86" s="528" t="s">
        <v>45</v>
      </c>
      <c r="B86" s="561">
        <f>'County One Time Input-BASE'!B61</f>
        <v>0.8139707721814543</v>
      </c>
      <c r="C86" s="562">
        <f>C$76*B86</f>
        <v>852789722.5347035</v>
      </c>
      <c r="D86" s="308">
        <f>SUM(E86:P86)+S86</f>
        <v>133548410.96000001</v>
      </c>
      <c r="E86" s="309">
        <f aca="true" t="shared" si="25" ref="E86:P86">ROUND(E$6*$B86,2)</f>
        <v>68275573.79</v>
      </c>
      <c r="F86" s="309">
        <f t="shared" si="25"/>
        <v>65272837.17</v>
      </c>
      <c r="G86" s="309">
        <f t="shared" si="25"/>
        <v>0</v>
      </c>
      <c r="H86" s="309">
        <f t="shared" si="25"/>
        <v>0</v>
      </c>
      <c r="I86" s="309">
        <f t="shared" si="25"/>
        <v>0</v>
      </c>
      <c r="J86" s="309">
        <f t="shared" si="25"/>
        <v>0</v>
      </c>
      <c r="K86" s="309">
        <f t="shared" si="25"/>
        <v>0</v>
      </c>
      <c r="L86" s="309">
        <f t="shared" si="25"/>
        <v>0</v>
      </c>
      <c r="M86" s="309">
        <f t="shared" si="25"/>
        <v>0</v>
      </c>
      <c r="N86" s="309">
        <f t="shared" si="25"/>
        <v>0</v>
      </c>
      <c r="O86" s="309">
        <f t="shared" si="25"/>
        <v>0</v>
      </c>
      <c r="P86" s="310">
        <f t="shared" si="25"/>
        <v>0</v>
      </c>
      <c r="R86" s="624">
        <f>'County One Time Input-GROWTH'!B58</f>
        <v>0.8139707721814543</v>
      </c>
      <c r="S86" s="430">
        <f>ROUND(S$6*$R86,2)</f>
        <v>0</v>
      </c>
    </row>
    <row r="87" spans="1:19" ht="15.75" hidden="1" outlineLevel="1" thickBot="1">
      <c r="A87" s="529"/>
      <c r="B87" s="563" t="s">
        <v>74</v>
      </c>
      <c r="C87" s="564"/>
      <c r="D87" s="72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R87" s="625"/>
      <c r="S87" s="431"/>
    </row>
    <row r="88" spans="1:19" ht="15" hidden="1" outlineLevel="1">
      <c r="A88" s="530" t="s">
        <v>66</v>
      </c>
      <c r="B88" s="565">
        <v>0.7481581936531475</v>
      </c>
      <c r="C88" s="566">
        <f>$C$86*B88</f>
        <v>638021618.3775326</v>
      </c>
      <c r="D88" s="77">
        <f>SUM(E88:P88)+S88</f>
        <v>99915337.90908182</v>
      </c>
      <c r="E88" s="78">
        <f aca="true" t="shared" si="26" ref="E88:S88">E$86*$B88</f>
        <v>51080929.957358584</v>
      </c>
      <c r="F88" s="78">
        <f t="shared" si="26"/>
        <v>48834407.951723225</v>
      </c>
      <c r="G88" s="78">
        <f t="shared" si="26"/>
        <v>0</v>
      </c>
      <c r="H88" s="78">
        <f t="shared" si="26"/>
        <v>0</v>
      </c>
      <c r="I88" s="78">
        <f t="shared" si="26"/>
        <v>0</v>
      </c>
      <c r="J88" s="78">
        <f t="shared" si="26"/>
        <v>0</v>
      </c>
      <c r="K88" s="78">
        <f t="shared" si="26"/>
        <v>0</v>
      </c>
      <c r="L88" s="78">
        <f t="shared" si="26"/>
        <v>0</v>
      </c>
      <c r="M88" s="78">
        <f t="shared" si="26"/>
        <v>0</v>
      </c>
      <c r="N88" s="78">
        <f t="shared" si="26"/>
        <v>0</v>
      </c>
      <c r="O88" s="78">
        <f t="shared" si="26"/>
        <v>0</v>
      </c>
      <c r="P88" s="79">
        <f t="shared" si="26"/>
        <v>0</v>
      </c>
      <c r="R88" s="626"/>
      <c r="S88" s="432">
        <f t="shared" si="26"/>
        <v>0</v>
      </c>
    </row>
    <row r="89" spans="1:19" s="86" customFormat="1" ht="15" hidden="1" outlineLevel="2">
      <c r="A89" s="531"/>
      <c r="B89" s="90" t="s">
        <v>75</v>
      </c>
      <c r="C89" s="567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3"/>
      <c r="R89" s="627"/>
      <c r="S89" s="433"/>
    </row>
    <row r="90" spans="1:19" s="86" customFormat="1" ht="15" hidden="1" outlineLevel="2">
      <c r="A90" s="94" t="s">
        <v>68</v>
      </c>
      <c r="B90" s="568">
        <v>0.029538024408195404</v>
      </c>
      <c r="C90" s="569">
        <f>C$88*$B90</f>
        <v>18845898.136591893</v>
      </c>
      <c r="D90" s="87">
        <f>SUM(E90:P90)+S90</f>
        <v>2951301.68991155</v>
      </c>
      <c r="E90" s="89">
        <f>E$88*$B90</f>
        <v>1508829.7558737777</v>
      </c>
      <c r="F90" s="89">
        <f aca="true" t="shared" si="27" ref="F90:S90">F$88*$B90</f>
        <v>1442471.9340377725</v>
      </c>
      <c r="G90" s="89">
        <f t="shared" si="27"/>
        <v>0</v>
      </c>
      <c r="H90" s="89">
        <f t="shared" si="27"/>
        <v>0</v>
      </c>
      <c r="I90" s="89">
        <f t="shared" si="27"/>
        <v>0</v>
      </c>
      <c r="J90" s="89">
        <f t="shared" si="27"/>
        <v>0</v>
      </c>
      <c r="K90" s="89">
        <f t="shared" si="27"/>
        <v>0</v>
      </c>
      <c r="L90" s="89">
        <f t="shared" si="27"/>
        <v>0</v>
      </c>
      <c r="M90" s="89">
        <f t="shared" si="27"/>
        <v>0</v>
      </c>
      <c r="N90" s="89">
        <f t="shared" si="27"/>
        <v>0</v>
      </c>
      <c r="O90" s="89">
        <f t="shared" si="27"/>
        <v>0</v>
      </c>
      <c r="P90" s="95">
        <f t="shared" si="27"/>
        <v>0</v>
      </c>
      <c r="R90" s="628"/>
      <c r="S90" s="434">
        <f t="shared" si="27"/>
        <v>0</v>
      </c>
    </row>
    <row r="91" spans="1:19" s="86" customFormat="1" ht="15" hidden="1" outlineLevel="2">
      <c r="A91" s="94" t="s">
        <v>69</v>
      </c>
      <c r="B91" s="568">
        <v>0.04578847371754275</v>
      </c>
      <c r="C91" s="569">
        <f aca="true" t="shared" si="28" ref="C91:S92">C$88*$B91</f>
        <v>29214036.104303744</v>
      </c>
      <c r="D91" s="87">
        <f>SUM(E91:P91)+S91</f>
        <v>4574970.823829396</v>
      </c>
      <c r="E91" s="89">
        <f t="shared" si="28"/>
        <v>2338917.8188201557</v>
      </c>
      <c r="F91" s="89">
        <f t="shared" si="28"/>
        <v>2236053.0050092395</v>
      </c>
      <c r="G91" s="89">
        <f t="shared" si="28"/>
        <v>0</v>
      </c>
      <c r="H91" s="89">
        <f t="shared" si="28"/>
        <v>0</v>
      </c>
      <c r="I91" s="89">
        <f t="shared" si="28"/>
        <v>0</v>
      </c>
      <c r="J91" s="89">
        <f t="shared" si="28"/>
        <v>0</v>
      </c>
      <c r="K91" s="89">
        <f t="shared" si="28"/>
        <v>0</v>
      </c>
      <c r="L91" s="89">
        <f t="shared" si="28"/>
        <v>0</v>
      </c>
      <c r="M91" s="89">
        <f t="shared" si="28"/>
        <v>0</v>
      </c>
      <c r="N91" s="89">
        <f t="shared" si="28"/>
        <v>0</v>
      </c>
      <c r="O91" s="89">
        <f t="shared" si="28"/>
        <v>0</v>
      </c>
      <c r="P91" s="95">
        <f t="shared" si="28"/>
        <v>0</v>
      </c>
      <c r="R91" s="628"/>
      <c r="S91" s="434">
        <f t="shared" si="28"/>
        <v>0</v>
      </c>
    </row>
    <row r="92" spans="1:19" s="86" customFormat="1" ht="15" hidden="1" outlineLevel="2">
      <c r="A92" s="98" t="s">
        <v>70</v>
      </c>
      <c r="B92" s="570">
        <v>0.9246735018742619</v>
      </c>
      <c r="C92" s="571">
        <f t="shared" si="28"/>
        <v>589961684.136637</v>
      </c>
      <c r="D92" s="87">
        <f>SUM(E92:P92)+S92</f>
        <v>92389065.39534086</v>
      </c>
      <c r="E92" s="100">
        <f t="shared" si="28"/>
        <v>47233182.38266465</v>
      </c>
      <c r="F92" s="100">
        <f t="shared" si="28"/>
        <v>45155883.01267622</v>
      </c>
      <c r="G92" s="100">
        <f t="shared" si="28"/>
        <v>0</v>
      </c>
      <c r="H92" s="100">
        <f t="shared" si="28"/>
        <v>0</v>
      </c>
      <c r="I92" s="100">
        <f t="shared" si="28"/>
        <v>0</v>
      </c>
      <c r="J92" s="100">
        <f t="shared" si="28"/>
        <v>0</v>
      </c>
      <c r="K92" s="100">
        <f t="shared" si="28"/>
        <v>0</v>
      </c>
      <c r="L92" s="100">
        <f t="shared" si="28"/>
        <v>0</v>
      </c>
      <c r="M92" s="100">
        <f t="shared" si="28"/>
        <v>0</v>
      </c>
      <c r="N92" s="100">
        <f t="shared" si="28"/>
        <v>0</v>
      </c>
      <c r="O92" s="100">
        <f t="shared" si="28"/>
        <v>0</v>
      </c>
      <c r="P92" s="101">
        <f t="shared" si="28"/>
        <v>0</v>
      </c>
      <c r="R92" s="629"/>
      <c r="S92" s="435">
        <f t="shared" si="28"/>
        <v>0</v>
      </c>
    </row>
    <row r="93" spans="1:19" s="86" customFormat="1" ht="15" hidden="1" outlineLevel="2">
      <c r="A93" s="532" t="s">
        <v>76</v>
      </c>
      <c r="B93" s="572">
        <f>SUM(B90:B92)</f>
        <v>1</v>
      </c>
      <c r="C93" s="573">
        <f>SUM(C90:C92)</f>
        <v>638021618.3775326</v>
      </c>
      <c r="D93" s="102">
        <f aca="true" t="shared" si="29" ref="D93:S93">SUM(D90:D92)</f>
        <v>99915337.9090818</v>
      </c>
      <c r="E93" s="102">
        <f t="shared" si="29"/>
        <v>51080929.957358584</v>
      </c>
      <c r="F93" s="102">
        <f t="shared" si="29"/>
        <v>48834407.951723225</v>
      </c>
      <c r="G93" s="102">
        <f t="shared" si="29"/>
        <v>0</v>
      </c>
      <c r="H93" s="102">
        <f t="shared" si="29"/>
        <v>0</v>
      </c>
      <c r="I93" s="102">
        <f t="shared" si="29"/>
        <v>0</v>
      </c>
      <c r="J93" s="102">
        <f t="shared" si="29"/>
        <v>0</v>
      </c>
      <c r="K93" s="102">
        <f t="shared" si="29"/>
        <v>0</v>
      </c>
      <c r="L93" s="102">
        <f t="shared" si="29"/>
        <v>0</v>
      </c>
      <c r="M93" s="102">
        <f t="shared" si="29"/>
        <v>0</v>
      </c>
      <c r="N93" s="102">
        <f t="shared" si="29"/>
        <v>0</v>
      </c>
      <c r="O93" s="102">
        <f t="shared" si="29"/>
        <v>0</v>
      </c>
      <c r="P93" s="103">
        <f t="shared" si="29"/>
        <v>0</v>
      </c>
      <c r="R93" s="630"/>
      <c r="S93" s="436">
        <f t="shared" si="29"/>
        <v>0</v>
      </c>
    </row>
    <row r="94" spans="1:19" ht="15.75" hidden="1" outlineLevel="1" collapsed="1" thickBot="1">
      <c r="A94" s="533" t="s">
        <v>67</v>
      </c>
      <c r="B94" s="574">
        <v>0.2518418063468525</v>
      </c>
      <c r="C94" s="575">
        <f>$C$86*B94</f>
        <v>214768104.15717086</v>
      </c>
      <c r="D94" s="77">
        <f>SUM(E94:P94)+S94</f>
        <v>33633073.05091819</v>
      </c>
      <c r="E94" s="78">
        <f aca="true" t="shared" si="30" ref="E94:S94">E$86*$B94</f>
        <v>17194643.83264142</v>
      </c>
      <c r="F94" s="78">
        <f t="shared" si="30"/>
        <v>16438429.218276776</v>
      </c>
      <c r="G94" s="78">
        <f t="shared" si="30"/>
        <v>0</v>
      </c>
      <c r="H94" s="78">
        <f t="shared" si="30"/>
        <v>0</v>
      </c>
      <c r="I94" s="78">
        <f t="shared" si="30"/>
        <v>0</v>
      </c>
      <c r="J94" s="78">
        <f t="shared" si="30"/>
        <v>0</v>
      </c>
      <c r="K94" s="78">
        <f t="shared" si="30"/>
        <v>0</v>
      </c>
      <c r="L94" s="78">
        <f t="shared" si="30"/>
        <v>0</v>
      </c>
      <c r="M94" s="78">
        <f t="shared" si="30"/>
        <v>0</v>
      </c>
      <c r="N94" s="78">
        <f t="shared" si="30"/>
        <v>0</v>
      </c>
      <c r="O94" s="78">
        <f t="shared" si="30"/>
        <v>0</v>
      </c>
      <c r="P94" s="79">
        <f t="shared" si="30"/>
        <v>0</v>
      </c>
      <c r="R94" s="626"/>
      <c r="S94" s="432">
        <f t="shared" si="30"/>
        <v>0</v>
      </c>
    </row>
    <row r="95" spans="1:19" ht="15.75" hidden="1" outlineLevel="1" thickBot="1">
      <c r="A95" s="534" t="s">
        <v>78</v>
      </c>
      <c r="B95" s="576">
        <f>B88+B94</f>
        <v>1</v>
      </c>
      <c r="C95" s="577">
        <f>+C88+C94</f>
        <v>852789722.5347035</v>
      </c>
      <c r="D95" s="71">
        <f>+D88+D94</f>
        <v>133548410.96000001</v>
      </c>
      <c r="E95" s="71">
        <f aca="true" t="shared" si="31" ref="E95:S95">+E88+E94</f>
        <v>68275573.79</v>
      </c>
      <c r="F95" s="71">
        <f t="shared" si="31"/>
        <v>65272837.17</v>
      </c>
      <c r="G95" s="71">
        <f t="shared" si="31"/>
        <v>0</v>
      </c>
      <c r="H95" s="71">
        <f t="shared" si="31"/>
        <v>0</v>
      </c>
      <c r="I95" s="71">
        <f t="shared" si="31"/>
        <v>0</v>
      </c>
      <c r="J95" s="71">
        <f t="shared" si="31"/>
        <v>0</v>
      </c>
      <c r="K95" s="71">
        <f t="shared" si="31"/>
        <v>0</v>
      </c>
      <c r="L95" s="71">
        <f t="shared" si="31"/>
        <v>0</v>
      </c>
      <c r="M95" s="71">
        <f t="shared" si="31"/>
        <v>0</v>
      </c>
      <c r="N95" s="71">
        <f t="shared" si="31"/>
        <v>0</v>
      </c>
      <c r="O95" s="71">
        <f t="shared" si="31"/>
        <v>0</v>
      </c>
      <c r="P95" s="82">
        <f t="shared" si="31"/>
        <v>0</v>
      </c>
      <c r="R95" s="631"/>
      <c r="S95" s="437">
        <f t="shared" si="31"/>
        <v>0</v>
      </c>
    </row>
    <row r="96" spans="1:19" ht="15.75" collapsed="1" thickBot="1">
      <c r="A96" s="518" t="s">
        <v>79</v>
      </c>
      <c r="B96" s="578">
        <f>B80+B86</f>
        <v>1</v>
      </c>
      <c r="C96" s="579">
        <f>C80+C86</f>
        <v>1047690840.605018</v>
      </c>
      <c r="D96" s="60">
        <f aca="true" t="shared" si="32" ref="D96:P96">D80+D86</f>
        <v>164070278.11</v>
      </c>
      <c r="E96" s="83">
        <f t="shared" si="32"/>
        <v>83879638.10000001</v>
      </c>
      <c r="F96" s="83">
        <f t="shared" si="32"/>
        <v>80190640.01</v>
      </c>
      <c r="G96" s="83">
        <f t="shared" si="32"/>
        <v>0</v>
      </c>
      <c r="H96" s="83">
        <f t="shared" si="32"/>
        <v>0</v>
      </c>
      <c r="I96" s="83">
        <f t="shared" si="32"/>
        <v>0</v>
      </c>
      <c r="J96" s="83">
        <f t="shared" si="32"/>
        <v>0</v>
      </c>
      <c r="K96" s="83">
        <f t="shared" si="32"/>
        <v>0</v>
      </c>
      <c r="L96" s="83">
        <f t="shared" si="32"/>
        <v>0</v>
      </c>
      <c r="M96" s="83">
        <f t="shared" si="32"/>
        <v>0</v>
      </c>
      <c r="N96" s="83">
        <f t="shared" si="32"/>
        <v>0</v>
      </c>
      <c r="O96" s="83">
        <f t="shared" si="32"/>
        <v>0</v>
      </c>
      <c r="P96" s="84">
        <f t="shared" si="32"/>
        <v>0</v>
      </c>
      <c r="R96" s="632">
        <f>R80+R86</f>
        <v>1</v>
      </c>
      <c r="S96" s="438">
        <f>S80+S86</f>
        <v>0</v>
      </c>
    </row>
    <row r="98" spans="1:3" ht="15">
      <c r="A98" s="86" t="s">
        <v>47</v>
      </c>
      <c r="C98" s="581">
        <f>C7</f>
        <v>5104000</v>
      </c>
    </row>
    <row r="99" ht="15.75" thickBot="1">
      <c r="S99" s="61" t="s">
        <v>274</v>
      </c>
    </row>
    <row r="100" spans="1:19" ht="45.75" thickBot="1">
      <c r="A100" s="518" t="s">
        <v>147</v>
      </c>
      <c r="B100" s="582" t="s">
        <v>148</v>
      </c>
      <c r="C100" s="582" t="s">
        <v>39</v>
      </c>
      <c r="D100" s="58" t="str">
        <f>D3</f>
        <v>RECEIPTS THROUGH OCTOBER</v>
      </c>
      <c r="E100" s="27" t="s">
        <v>7</v>
      </c>
      <c r="F100" s="27" t="s">
        <v>8</v>
      </c>
      <c r="G100" s="27" t="s">
        <v>9</v>
      </c>
      <c r="H100" s="27" t="s">
        <v>10</v>
      </c>
      <c r="I100" s="27" t="s">
        <v>11</v>
      </c>
      <c r="J100" s="27" t="s">
        <v>12</v>
      </c>
      <c r="K100" s="27" t="s">
        <v>13</v>
      </c>
      <c r="L100" s="27" t="s">
        <v>14</v>
      </c>
      <c r="M100" s="27" t="s">
        <v>15</v>
      </c>
      <c r="N100" s="27" t="s">
        <v>16</v>
      </c>
      <c r="O100" s="27" t="s">
        <v>17</v>
      </c>
      <c r="P100" s="28" t="s">
        <v>18</v>
      </c>
      <c r="S100" s="424" t="s">
        <v>178</v>
      </c>
    </row>
    <row r="101" spans="1:19" ht="4.5" customHeight="1" thickBot="1">
      <c r="A101" s="519"/>
      <c r="B101" s="583"/>
      <c r="C101" s="583"/>
      <c r="D101" s="42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S101" s="425"/>
    </row>
    <row r="102" spans="1:19" ht="15">
      <c r="A102" s="521" t="s">
        <v>149</v>
      </c>
      <c r="B102" s="584">
        <f aca="true" t="shared" si="33" ref="B102:B107">+C102/C$108</f>
        <v>0.13473060344827587</v>
      </c>
      <c r="C102" s="492">
        <f>'County One Time Input-BASE'!B14</f>
        <v>687665</v>
      </c>
      <c r="D102" s="280">
        <f aca="true" t="shared" si="34" ref="D102:D107">SUM(E102:P102)</f>
        <v>114610.83243512931</v>
      </c>
      <c r="E102" s="286">
        <f>E$7*$B102</f>
        <v>57305.416217564656</v>
      </c>
      <c r="F102" s="286">
        <f aca="true" t="shared" si="35" ref="F102:S102">F$7*$B102</f>
        <v>57305.416217564656</v>
      </c>
      <c r="G102" s="286">
        <f t="shared" si="35"/>
        <v>0</v>
      </c>
      <c r="H102" s="286">
        <f t="shared" si="35"/>
        <v>0</v>
      </c>
      <c r="I102" s="286">
        <f t="shared" si="35"/>
        <v>0</v>
      </c>
      <c r="J102" s="286">
        <f t="shared" si="35"/>
        <v>0</v>
      </c>
      <c r="K102" s="286">
        <f t="shared" si="35"/>
        <v>0</v>
      </c>
      <c r="L102" s="286">
        <f t="shared" si="35"/>
        <v>0</v>
      </c>
      <c r="M102" s="286">
        <f t="shared" si="35"/>
        <v>0</v>
      </c>
      <c r="N102" s="286">
        <f t="shared" si="35"/>
        <v>0</v>
      </c>
      <c r="O102" s="286">
        <f t="shared" si="35"/>
        <v>0</v>
      </c>
      <c r="P102" s="287">
        <f t="shared" si="35"/>
        <v>0</v>
      </c>
      <c r="S102" s="427">
        <f t="shared" si="35"/>
        <v>0</v>
      </c>
    </row>
    <row r="103" spans="1:19" ht="15">
      <c r="A103" s="521" t="s">
        <v>150</v>
      </c>
      <c r="B103" s="584">
        <f t="shared" si="33"/>
        <v>0.14272825235109718</v>
      </c>
      <c r="C103" s="492">
        <f>'County One Time Input-BASE'!B15</f>
        <v>728485</v>
      </c>
      <c r="D103" s="285">
        <f t="shared" si="34"/>
        <v>121414.16571514499</v>
      </c>
      <c r="E103" s="286">
        <f aca="true" t="shared" si="36" ref="E103:S107">E$7*$B103</f>
        <v>60707.082857572495</v>
      </c>
      <c r="F103" s="286">
        <f t="shared" si="36"/>
        <v>60707.082857572495</v>
      </c>
      <c r="G103" s="286">
        <f t="shared" si="36"/>
        <v>0</v>
      </c>
      <c r="H103" s="286">
        <f t="shared" si="36"/>
        <v>0</v>
      </c>
      <c r="I103" s="286">
        <f t="shared" si="36"/>
        <v>0</v>
      </c>
      <c r="J103" s="286">
        <f t="shared" si="36"/>
        <v>0</v>
      </c>
      <c r="K103" s="286">
        <f t="shared" si="36"/>
        <v>0</v>
      </c>
      <c r="L103" s="286">
        <f t="shared" si="36"/>
        <v>0</v>
      </c>
      <c r="M103" s="286">
        <f t="shared" si="36"/>
        <v>0</v>
      </c>
      <c r="N103" s="286">
        <f t="shared" si="36"/>
        <v>0</v>
      </c>
      <c r="O103" s="286">
        <f t="shared" si="36"/>
        <v>0</v>
      </c>
      <c r="P103" s="287">
        <f t="shared" si="36"/>
        <v>0</v>
      </c>
      <c r="S103" s="427">
        <f t="shared" si="36"/>
        <v>0</v>
      </c>
    </row>
    <row r="104" spans="1:19" ht="15">
      <c r="A104" s="521" t="s">
        <v>151</v>
      </c>
      <c r="B104" s="584">
        <f t="shared" si="33"/>
        <v>0.41780721003134796</v>
      </c>
      <c r="C104" s="492">
        <f>'County One Time Input-BASE'!B16</f>
        <v>2132488</v>
      </c>
      <c r="D104" s="285">
        <f t="shared" si="34"/>
        <v>355414.6638812853</v>
      </c>
      <c r="E104" s="286">
        <f t="shared" si="36"/>
        <v>177707.33194064265</v>
      </c>
      <c r="F104" s="286">
        <f t="shared" si="36"/>
        <v>177707.33194064265</v>
      </c>
      <c r="G104" s="286">
        <f t="shared" si="36"/>
        <v>0</v>
      </c>
      <c r="H104" s="286">
        <f t="shared" si="36"/>
        <v>0</v>
      </c>
      <c r="I104" s="286">
        <f t="shared" si="36"/>
        <v>0</v>
      </c>
      <c r="J104" s="286">
        <f t="shared" si="36"/>
        <v>0</v>
      </c>
      <c r="K104" s="286">
        <f t="shared" si="36"/>
        <v>0</v>
      </c>
      <c r="L104" s="286">
        <f t="shared" si="36"/>
        <v>0</v>
      </c>
      <c r="M104" s="286">
        <f t="shared" si="36"/>
        <v>0</v>
      </c>
      <c r="N104" s="286">
        <f t="shared" si="36"/>
        <v>0</v>
      </c>
      <c r="O104" s="286">
        <f t="shared" si="36"/>
        <v>0</v>
      </c>
      <c r="P104" s="287">
        <f t="shared" si="36"/>
        <v>0</v>
      </c>
      <c r="S104" s="427">
        <f t="shared" si="36"/>
        <v>0</v>
      </c>
    </row>
    <row r="105" spans="1:19" ht="15">
      <c r="A105" s="521" t="s">
        <v>152</v>
      </c>
      <c r="B105" s="584">
        <f t="shared" si="33"/>
        <v>0.10853056426332289</v>
      </c>
      <c r="C105" s="492">
        <f>'County One Time Input-BASE'!B17</f>
        <v>553940</v>
      </c>
      <c r="D105" s="285">
        <f t="shared" si="34"/>
        <v>92323.33260979624</v>
      </c>
      <c r="E105" s="286">
        <f t="shared" si="36"/>
        <v>46161.66630489812</v>
      </c>
      <c r="F105" s="286">
        <f t="shared" si="36"/>
        <v>46161.66630489812</v>
      </c>
      <c r="G105" s="286">
        <f t="shared" si="36"/>
        <v>0</v>
      </c>
      <c r="H105" s="286">
        <f t="shared" si="36"/>
        <v>0</v>
      </c>
      <c r="I105" s="286">
        <f t="shared" si="36"/>
        <v>0</v>
      </c>
      <c r="J105" s="286">
        <f t="shared" si="36"/>
        <v>0</v>
      </c>
      <c r="K105" s="286">
        <f t="shared" si="36"/>
        <v>0</v>
      </c>
      <c r="L105" s="286">
        <f t="shared" si="36"/>
        <v>0</v>
      </c>
      <c r="M105" s="286">
        <f t="shared" si="36"/>
        <v>0</v>
      </c>
      <c r="N105" s="286">
        <f t="shared" si="36"/>
        <v>0</v>
      </c>
      <c r="O105" s="286">
        <f t="shared" si="36"/>
        <v>0</v>
      </c>
      <c r="P105" s="287">
        <f t="shared" si="36"/>
        <v>0</v>
      </c>
      <c r="S105" s="427">
        <f t="shared" si="36"/>
        <v>0</v>
      </c>
    </row>
    <row r="106" spans="1:19" ht="15">
      <c r="A106" s="521" t="s">
        <v>153</v>
      </c>
      <c r="B106" s="584">
        <f t="shared" si="33"/>
        <v>0.03571434169278997</v>
      </c>
      <c r="C106" s="492">
        <f>'County One Time Input-BASE'!B18</f>
        <v>182286</v>
      </c>
      <c r="D106" s="285">
        <f t="shared" si="34"/>
        <v>30380.99976190439</v>
      </c>
      <c r="E106" s="286">
        <f t="shared" si="36"/>
        <v>15190.499880952195</v>
      </c>
      <c r="F106" s="286">
        <f t="shared" si="36"/>
        <v>15190.499880952195</v>
      </c>
      <c r="G106" s="286">
        <f t="shared" si="36"/>
        <v>0</v>
      </c>
      <c r="H106" s="286">
        <f t="shared" si="36"/>
        <v>0</v>
      </c>
      <c r="I106" s="286">
        <f t="shared" si="36"/>
        <v>0</v>
      </c>
      <c r="J106" s="286">
        <f t="shared" si="36"/>
        <v>0</v>
      </c>
      <c r="K106" s="286">
        <f t="shared" si="36"/>
        <v>0</v>
      </c>
      <c r="L106" s="286">
        <f t="shared" si="36"/>
        <v>0</v>
      </c>
      <c r="M106" s="286">
        <f t="shared" si="36"/>
        <v>0</v>
      </c>
      <c r="N106" s="286">
        <f t="shared" si="36"/>
        <v>0</v>
      </c>
      <c r="O106" s="286">
        <f t="shared" si="36"/>
        <v>0</v>
      </c>
      <c r="P106" s="287">
        <f t="shared" si="36"/>
        <v>0</v>
      </c>
      <c r="S106" s="427">
        <f t="shared" si="36"/>
        <v>0</v>
      </c>
    </row>
    <row r="107" spans="1:19" ht="15.75" thickBot="1">
      <c r="A107" s="521" t="s">
        <v>154</v>
      </c>
      <c r="B107" s="585">
        <f t="shared" si="33"/>
        <v>0.16048902821316616</v>
      </c>
      <c r="C107" s="492">
        <f>'County One Time Input-BASE'!B19</f>
        <v>819136</v>
      </c>
      <c r="D107" s="285">
        <f t="shared" si="34"/>
        <v>136522.66559673983</v>
      </c>
      <c r="E107" s="286">
        <f t="shared" si="36"/>
        <v>68261.33279836991</v>
      </c>
      <c r="F107" s="286">
        <f t="shared" si="36"/>
        <v>68261.33279836991</v>
      </c>
      <c r="G107" s="286">
        <f t="shared" si="36"/>
        <v>0</v>
      </c>
      <c r="H107" s="286">
        <f t="shared" si="36"/>
        <v>0</v>
      </c>
      <c r="I107" s="286">
        <f t="shared" si="36"/>
        <v>0</v>
      </c>
      <c r="J107" s="286">
        <f t="shared" si="36"/>
        <v>0</v>
      </c>
      <c r="K107" s="286">
        <f t="shared" si="36"/>
        <v>0</v>
      </c>
      <c r="L107" s="286">
        <f t="shared" si="36"/>
        <v>0</v>
      </c>
      <c r="M107" s="286">
        <f t="shared" si="36"/>
        <v>0</v>
      </c>
      <c r="N107" s="286">
        <f t="shared" si="36"/>
        <v>0</v>
      </c>
      <c r="O107" s="286">
        <f t="shared" si="36"/>
        <v>0</v>
      </c>
      <c r="P107" s="287">
        <f t="shared" si="36"/>
        <v>0</v>
      </c>
      <c r="S107" s="427">
        <f t="shared" si="36"/>
        <v>0</v>
      </c>
    </row>
    <row r="108" spans="1:19" ht="15.75" collapsed="1" thickBot="1">
      <c r="A108" s="518" t="s">
        <v>155</v>
      </c>
      <c r="B108" s="578">
        <f>SUM(B102:B107)</f>
        <v>1</v>
      </c>
      <c r="C108" s="579">
        <f>SUM(C102:C107)</f>
        <v>5104000</v>
      </c>
      <c r="D108" s="60">
        <f>SUM(D102:D107)</f>
        <v>850666.66</v>
      </c>
      <c r="E108" s="83">
        <f>SUM(E102:E107)</f>
        <v>425333.33</v>
      </c>
      <c r="F108" s="83">
        <f aca="true" t="shared" si="37" ref="F108:S108">SUM(F102:F107)</f>
        <v>425333.33</v>
      </c>
      <c r="G108" s="83">
        <f t="shared" si="37"/>
        <v>0</v>
      </c>
      <c r="H108" s="83">
        <f t="shared" si="37"/>
        <v>0</v>
      </c>
      <c r="I108" s="83">
        <f t="shared" si="37"/>
        <v>0</v>
      </c>
      <c r="J108" s="83">
        <f t="shared" si="37"/>
        <v>0</v>
      </c>
      <c r="K108" s="83">
        <f t="shared" si="37"/>
        <v>0</v>
      </c>
      <c r="L108" s="83">
        <f t="shared" si="37"/>
        <v>0</v>
      </c>
      <c r="M108" s="83">
        <f t="shared" si="37"/>
        <v>0</v>
      </c>
      <c r="N108" s="83">
        <f t="shared" si="37"/>
        <v>0</v>
      </c>
      <c r="O108" s="83">
        <f t="shared" si="37"/>
        <v>0</v>
      </c>
      <c r="P108" s="84">
        <f t="shared" si="37"/>
        <v>0</v>
      </c>
      <c r="S108" s="438">
        <f t="shared" si="37"/>
        <v>0</v>
      </c>
    </row>
  </sheetData>
  <sheetProtection/>
  <dataValidations count="1">
    <dataValidation allowBlank="1" showInputMessage="1" showErrorMessage="1" prompt="Please spell out the month, do not abbreviate" sqref="D1"/>
  </dataValidations>
  <hyperlinks>
    <hyperlink ref="A5" r:id="rId1" display="PROTECTIVE SERVICES"/>
    <hyperlink ref="A14" r:id="rId2" display="TRIAL COURT SECURITY"/>
    <hyperlink ref="A6:A7" r:id="rId3" display="PROTECTIVE SERVICES"/>
    <hyperlink ref="A15:A17" r:id="rId4" display="TRIAL COURT SECURITY"/>
  </hyperlinks>
  <printOptions/>
  <pageMargins left="0.5" right="0.5" top="0.5" bottom="0.5" header="0.25" footer="0"/>
  <pageSetup fitToHeight="2" fitToWidth="1" horizontalDpi="600" verticalDpi="600" orientation="landscape" paperSize="5" scale="60" r:id="rId5"/>
  <headerFooter alignWithMargins="0">
    <oddHeader>&amp;C&amp;"Calibri,Bold"&amp;14&amp;A</oddHeader>
    <oddFooter>&amp;L&amp;Z&amp;F &amp;A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workbookViewId="0" topLeftCell="A56">
      <selection activeCell="I93" sqref="I93"/>
    </sheetView>
  </sheetViews>
  <sheetFormatPr defaultColWidth="9.140625" defaultRowHeight="15" outlineLevelRow="2"/>
  <cols>
    <col min="1" max="1" width="30.140625" style="0" customWidth="1"/>
    <col min="2" max="3" width="16.140625" style="0" customWidth="1"/>
    <col min="4" max="4" width="17.421875" style="0" bestFit="1" customWidth="1"/>
    <col min="5" max="5" width="13.7109375" style="0" bestFit="1" customWidth="1"/>
    <col min="6" max="7" width="12.7109375" style="0" customWidth="1"/>
    <col min="8" max="8" width="13.7109375" style="0" bestFit="1" customWidth="1"/>
    <col min="9" max="16" width="12.7109375" style="0" customWidth="1"/>
    <col min="18" max="18" width="9.8515625" style="0" customWidth="1"/>
    <col min="19" max="19" width="12.57421875" style="0" bestFit="1" customWidth="1"/>
  </cols>
  <sheetData>
    <row r="1" spans="1:19" ht="16.5" thickBot="1">
      <c r="A1" s="23" t="s">
        <v>19</v>
      </c>
      <c r="D1" s="263" t="str">
        <f>'Monthly Receipts Input'!D1</f>
        <v>OCTOBER</v>
      </c>
      <c r="G1" s="24" t="s">
        <v>94</v>
      </c>
      <c r="Q1" s="386" t="s">
        <v>167</v>
      </c>
      <c r="R1" s="386"/>
      <c r="S1" s="451">
        <f>'Monthly Receipts Input'!S1</f>
        <v>0</v>
      </c>
    </row>
    <row r="2" ht="15.75" thickBot="1">
      <c r="R2" s="466">
        <f>'County One Time Input-GROWTH'!C6</f>
        <v>0.65</v>
      </c>
    </row>
    <row r="3" spans="1:19" s="29" customFormat="1" ht="45.75" thickBot="1">
      <c r="A3" s="256" t="s">
        <v>21</v>
      </c>
      <c r="B3" s="257" t="s">
        <v>42</v>
      </c>
      <c r="C3" s="257" t="s">
        <v>22</v>
      </c>
      <c r="D3" s="258" t="str">
        <f>CONCATENATE("RECEIPTS THROUGH"," ",D1)</f>
        <v>RECEIPTS THROUGH OCTOBER</v>
      </c>
      <c r="E3" s="259" t="s">
        <v>7</v>
      </c>
      <c r="F3" s="259" t="s">
        <v>8</v>
      </c>
      <c r="G3" s="259" t="s">
        <v>9</v>
      </c>
      <c r="H3" s="259" t="s">
        <v>10</v>
      </c>
      <c r="I3" s="259" t="s">
        <v>11</v>
      </c>
      <c r="J3" s="259" t="s">
        <v>12</v>
      </c>
      <c r="K3" s="259" t="s">
        <v>13</v>
      </c>
      <c r="L3" s="259" t="s">
        <v>14</v>
      </c>
      <c r="M3" s="259" t="s">
        <v>15</v>
      </c>
      <c r="N3" s="259" t="s">
        <v>16</v>
      </c>
      <c r="O3" s="259" t="s">
        <v>17</v>
      </c>
      <c r="P3" s="260" t="s">
        <v>18</v>
      </c>
      <c r="R3" s="450" t="s">
        <v>181</v>
      </c>
      <c r="S3" s="450" t="s">
        <v>179</v>
      </c>
    </row>
    <row r="4" spans="1:19" ht="5.25" customHeight="1" thickBot="1">
      <c r="A4" s="30"/>
      <c r="B4" s="31"/>
      <c r="C4" s="45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420"/>
      <c r="S4" s="420"/>
    </row>
    <row r="5" spans="1:19" ht="15">
      <c r="A5" s="114" t="s">
        <v>83</v>
      </c>
      <c r="B5" s="8">
        <f>'County One Time Input-BASE'!C11</f>
        <v>0.632609</v>
      </c>
      <c r="C5" s="34">
        <f>'County One Time Input-BASE'!B11</f>
        <v>1812802957.3949819</v>
      </c>
      <c r="D5" s="35">
        <f>SUM(E5:P5)+S5</f>
        <v>283976673.21000004</v>
      </c>
      <c r="E5" s="160">
        <f>'Monthly Receipts Input'!E5</f>
        <v>145164371.66</v>
      </c>
      <c r="F5" s="160">
        <f>'Monthly Receipts Input'!F5</f>
        <v>138812301.55</v>
      </c>
      <c r="G5" s="160">
        <f>'Monthly Receipts Input'!G5</f>
        <v>0</v>
      </c>
      <c r="H5" s="160">
        <f>'Monthly Receipts Input'!H5</f>
        <v>0</v>
      </c>
      <c r="I5" s="160">
        <f>'Monthly Receipts Input'!I5</f>
        <v>0</v>
      </c>
      <c r="J5" s="160">
        <f>'Monthly Receipts Input'!J5</f>
        <v>0</v>
      </c>
      <c r="K5" s="160">
        <f>'Monthly Receipts Input'!K5</f>
        <v>0</v>
      </c>
      <c r="L5" s="160">
        <f>'Monthly Receipts Input'!L5</f>
        <v>0</v>
      </c>
      <c r="M5" s="160">
        <f>'Monthly Receipts Input'!M5</f>
        <v>0</v>
      </c>
      <c r="N5" s="160">
        <f>'Monthly Receipts Input'!N5</f>
        <v>0</v>
      </c>
      <c r="O5" s="160">
        <f>'Monthly Receipts Input'!O5</f>
        <v>0</v>
      </c>
      <c r="P5" s="161">
        <f>'Monthly Receipts Input'!P5</f>
        <v>0</v>
      </c>
      <c r="R5" s="468">
        <f>'Monthly Receipts Input'!R5</f>
        <v>0.6181</v>
      </c>
      <c r="S5" s="452">
        <f>'Monthly Receipts Input'!S5</f>
        <v>0</v>
      </c>
    </row>
    <row r="6" spans="1:19" ht="15">
      <c r="A6" s="115" t="s">
        <v>84</v>
      </c>
      <c r="B6" s="8">
        <f>'County One Time Input-BASE'!C12</f>
        <v>0.367391</v>
      </c>
      <c r="C6" s="34">
        <f>'County One Time Input-BASE'!B12</f>
        <v>1047690840.605018</v>
      </c>
      <c r="D6" s="36">
        <f>SUM(E6:P6)+S6</f>
        <v>164070278.11</v>
      </c>
      <c r="E6" s="160">
        <f>'Monthly Receipts Input'!E6</f>
        <v>83879638.1</v>
      </c>
      <c r="F6" s="160">
        <f>'Monthly Receipts Input'!F6</f>
        <v>80190640.01</v>
      </c>
      <c r="G6" s="160">
        <f>'Monthly Receipts Input'!G6</f>
        <v>0</v>
      </c>
      <c r="H6" s="160">
        <f>'Monthly Receipts Input'!H6</f>
        <v>0</v>
      </c>
      <c r="I6" s="160">
        <f>'Monthly Receipts Input'!I6</f>
        <v>0</v>
      </c>
      <c r="J6" s="160">
        <f>'Monthly Receipts Input'!J6</f>
        <v>0</v>
      </c>
      <c r="K6" s="160">
        <f>'Monthly Receipts Input'!K6</f>
        <v>0</v>
      </c>
      <c r="L6" s="160">
        <f>'Monthly Receipts Input'!L6</f>
        <v>0</v>
      </c>
      <c r="M6" s="160">
        <f>'Monthly Receipts Input'!M6</f>
        <v>0</v>
      </c>
      <c r="N6" s="160">
        <f>'Monthly Receipts Input'!N6</f>
        <v>0</v>
      </c>
      <c r="O6" s="160">
        <f>'Monthly Receipts Input'!O6</f>
        <v>0</v>
      </c>
      <c r="P6" s="161">
        <f>'Monthly Receipts Input'!P6</f>
        <v>0</v>
      </c>
      <c r="R6" s="468">
        <f>'Monthly Receipts Input'!R6</f>
        <v>0.3319</v>
      </c>
      <c r="S6" s="453">
        <f>'Monthly Receipts Input'!S6</f>
        <v>0</v>
      </c>
    </row>
    <row r="7" spans="1:19" ht="15.75" thickBot="1">
      <c r="A7" s="116" t="s">
        <v>88</v>
      </c>
      <c r="B7" s="8">
        <f>'County One Time Input-BASE'!C13</f>
        <v>0</v>
      </c>
      <c r="C7" s="34">
        <f>'County One Time Input-BASE'!B13</f>
        <v>5104000</v>
      </c>
      <c r="D7" s="50">
        <f>SUM(E7:P7)+S7</f>
        <v>850666.66</v>
      </c>
      <c r="E7" s="160">
        <f>'Monthly Receipts Input'!E7</f>
        <v>425333.33</v>
      </c>
      <c r="F7" s="160">
        <f>'Monthly Receipts Input'!F7</f>
        <v>425333.33</v>
      </c>
      <c r="G7" s="160">
        <f>'Monthly Receipts Input'!G7</f>
        <v>0</v>
      </c>
      <c r="H7" s="160">
        <f>'Monthly Receipts Input'!H7</f>
        <v>0</v>
      </c>
      <c r="I7" s="160">
        <f>'Monthly Receipts Input'!I7</f>
        <v>0</v>
      </c>
      <c r="J7" s="160">
        <f>'Monthly Receipts Input'!J7</f>
        <v>0</v>
      </c>
      <c r="K7" s="160">
        <f>'Monthly Receipts Input'!K7</f>
        <v>0</v>
      </c>
      <c r="L7" s="160">
        <f>'Monthly Receipts Input'!L7</f>
        <v>0</v>
      </c>
      <c r="M7" s="160">
        <f>'Monthly Receipts Input'!M7</f>
        <v>0</v>
      </c>
      <c r="N7" s="160">
        <f>'Monthly Receipts Input'!N7</f>
        <v>0</v>
      </c>
      <c r="O7" s="160">
        <f>'Monthly Receipts Input'!O7</f>
        <v>0</v>
      </c>
      <c r="P7" s="161">
        <f>'Monthly Receipts Input'!P7</f>
        <v>0</v>
      </c>
      <c r="R7" s="469">
        <f>'Monthly Receipts Input'!R7</f>
        <v>0</v>
      </c>
      <c r="S7" s="454">
        <f>'Monthly Receipts Input'!S7</f>
        <v>0</v>
      </c>
    </row>
    <row r="8" spans="1:19" ht="15.75" thickBot="1">
      <c r="A8" s="51" t="s">
        <v>24</v>
      </c>
      <c r="B8" s="52">
        <f>SUM(B5:B7)</f>
        <v>1</v>
      </c>
      <c r="C8" s="53">
        <f>SUM(C5:C7)</f>
        <v>2865597798</v>
      </c>
      <c r="D8" s="105">
        <f>SUM(E8:P8)+S8</f>
        <v>448897617.98</v>
      </c>
      <c r="E8" s="54">
        <f aca="true" t="shared" si="0" ref="E8:P8">SUM(E5:E7)</f>
        <v>229469343.09</v>
      </c>
      <c r="F8" s="54">
        <f t="shared" si="0"/>
        <v>219428274.89000002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5">
        <f t="shared" si="0"/>
        <v>0</v>
      </c>
      <c r="R8" s="467"/>
      <c r="S8" s="455">
        <f>SUM(S5:S7)</f>
        <v>0</v>
      </c>
    </row>
    <row r="9" spans="1:16" ht="15">
      <c r="A9" s="109"/>
      <c r="B9" s="110"/>
      <c r="C9" s="111"/>
      <c r="D9" s="128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6" ht="15">
      <c r="A10" s="109"/>
      <c r="B10" s="110"/>
      <c r="C10" s="111"/>
      <c r="D10" s="128"/>
      <c r="E10" s="113"/>
      <c r="F10" s="113"/>
      <c r="G10" s="24" t="str">
        <f>CONCATENATE('County One Time Input-BASE'!C2," County Receipts - SUPPORT SERVICES ACCOUNT")</f>
        <v>San Mateo County Receipts - SUPPORT SERVICES ACCOUNT</v>
      </c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ht="15.75" thickBot="1">
      <c r="A11" s="109"/>
      <c r="B11" s="110"/>
      <c r="C11" s="111"/>
      <c r="D11" s="134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19" s="29" customFormat="1" ht="45.75" thickBot="1">
      <c r="A12" s="25" t="s">
        <v>21</v>
      </c>
      <c r="B12" s="26" t="str">
        <f>CONCATENATE('County One Time Input-BASE'!C2," County % Distribution")</f>
        <v>San Mateo County % Distribution</v>
      </c>
      <c r="C12" s="26" t="str">
        <f>CONCATENATE('County One Time Input-BASE'!C2," County Portion")</f>
        <v>San Mateo County Portion</v>
      </c>
      <c r="D12" s="59" t="str">
        <f>CONCATENATE("RECEIPTS THROUGH"," ",D1)</f>
        <v>RECEIPTS THROUGH OCTOBER</v>
      </c>
      <c r="E12" s="27" t="s">
        <v>7</v>
      </c>
      <c r="F12" s="27" t="s">
        <v>8</v>
      </c>
      <c r="G12" s="27" t="s">
        <v>9</v>
      </c>
      <c r="H12" s="27" t="s">
        <v>10</v>
      </c>
      <c r="I12" s="27" t="s">
        <v>11</v>
      </c>
      <c r="J12" s="27" t="s">
        <v>12</v>
      </c>
      <c r="K12" s="27" t="s">
        <v>13</v>
      </c>
      <c r="L12" s="27" t="s">
        <v>14</v>
      </c>
      <c r="M12" s="27" t="s">
        <v>15</v>
      </c>
      <c r="N12" s="27" t="s">
        <v>16</v>
      </c>
      <c r="O12" s="27" t="s">
        <v>17</v>
      </c>
      <c r="P12" s="28" t="s">
        <v>18</v>
      </c>
      <c r="R12" s="450" t="s">
        <v>181</v>
      </c>
      <c r="S12" s="450" t="s">
        <v>179</v>
      </c>
    </row>
    <row r="13" spans="1:19" ht="5.25" customHeight="1" thickBot="1">
      <c r="A13" s="117"/>
      <c r="B13" s="118"/>
      <c r="C13" s="119"/>
      <c r="D13" s="117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R13" s="420"/>
      <c r="S13" s="420"/>
    </row>
    <row r="14" spans="1:19" ht="15">
      <c r="A14" s="146" t="s">
        <v>83</v>
      </c>
      <c r="B14" s="8">
        <f>'County One Time Input-BASE'!F11</f>
        <v>0.0097509118</v>
      </c>
      <c r="C14" s="143">
        <f>C5*B14</f>
        <v>17676481.748337626</v>
      </c>
      <c r="D14" s="35">
        <f>SUM(E14:P14)+S14</f>
        <v>2769031.493728133</v>
      </c>
      <c r="E14" s="154">
        <f>E5*$B$14</f>
        <v>1415484.9845590794</v>
      </c>
      <c r="F14" s="154">
        <f aca="true" t="shared" si="1" ref="F14:P14">F5*$B$14</f>
        <v>1353546.5091690533</v>
      </c>
      <c r="G14" s="154">
        <f t="shared" si="1"/>
        <v>0</v>
      </c>
      <c r="H14" s="154">
        <f t="shared" si="1"/>
        <v>0</v>
      </c>
      <c r="I14" s="156">
        <f>SUM(I5*$B$14)</f>
        <v>0</v>
      </c>
      <c r="J14" s="154">
        <f t="shared" si="1"/>
        <v>0</v>
      </c>
      <c r="K14" s="154">
        <f t="shared" si="1"/>
        <v>0</v>
      </c>
      <c r="L14" s="154">
        <f t="shared" si="1"/>
        <v>0</v>
      </c>
      <c r="M14" s="154">
        <f t="shared" si="1"/>
        <v>0</v>
      </c>
      <c r="N14" s="154">
        <f t="shared" si="1"/>
        <v>0</v>
      </c>
      <c r="O14" s="154">
        <f t="shared" si="1"/>
        <v>0</v>
      </c>
      <c r="P14" s="155">
        <f t="shared" si="1"/>
        <v>0</v>
      </c>
      <c r="R14" s="468"/>
      <c r="S14" s="155">
        <f>S19+S20+S21</f>
        <v>0</v>
      </c>
    </row>
    <row r="15" spans="1:19" ht="15">
      <c r="A15" s="115" t="s">
        <v>84</v>
      </c>
      <c r="B15" s="8">
        <f>'County One Time Input-BASE'!F12</f>
        <v>0.008039011364921843</v>
      </c>
      <c r="C15" s="34">
        <f>C6*B15</f>
        <v>8422398.57454826</v>
      </c>
      <c r="D15" s="36">
        <f>SUM(E15:P15)+S15</f>
        <v>1318962.8303721775</v>
      </c>
      <c r="E15" s="156">
        <f>E6*$B$15</f>
        <v>674309.3639714312</v>
      </c>
      <c r="F15" s="156">
        <f aca="true" t="shared" si="2" ref="F15:P15">F6*$B$15</f>
        <v>644653.4664007463</v>
      </c>
      <c r="G15" s="156">
        <f t="shared" si="2"/>
        <v>0</v>
      </c>
      <c r="H15" s="156">
        <f t="shared" si="2"/>
        <v>0</v>
      </c>
      <c r="I15" s="156">
        <f t="shared" si="2"/>
        <v>0</v>
      </c>
      <c r="J15" s="156">
        <f t="shared" si="2"/>
        <v>0</v>
      </c>
      <c r="K15" s="156">
        <f t="shared" si="2"/>
        <v>0</v>
      </c>
      <c r="L15" s="156">
        <f t="shared" si="2"/>
        <v>0</v>
      </c>
      <c r="M15" s="156">
        <f t="shared" si="2"/>
        <v>0</v>
      </c>
      <c r="N15" s="156">
        <f t="shared" si="2"/>
        <v>0</v>
      </c>
      <c r="O15" s="156">
        <f t="shared" si="2"/>
        <v>0</v>
      </c>
      <c r="P15" s="157">
        <f t="shared" si="2"/>
        <v>0</v>
      </c>
      <c r="R15" s="468">
        <f>'County One Time Input-GROWTH'!F14</f>
        <v>0.008039011364921843</v>
      </c>
      <c r="S15" s="157">
        <f>S6*R15</f>
        <v>0</v>
      </c>
    </row>
    <row r="16" spans="1:19" ht="15.75" thickBot="1">
      <c r="A16" s="144" t="s">
        <v>88</v>
      </c>
      <c r="B16" s="8">
        <f>'County One Time Input-BASE'!F13</f>
        <v>0</v>
      </c>
      <c r="C16" s="145">
        <f>C7*B16</f>
        <v>0</v>
      </c>
      <c r="D16" s="50">
        <f>SUM(E16:P16)+S16</f>
        <v>0</v>
      </c>
      <c r="E16" s="158">
        <f>E7*$B$16</f>
        <v>0</v>
      </c>
      <c r="F16" s="158">
        <f aca="true" t="shared" si="3" ref="F16:P16">F7*$B$16</f>
        <v>0</v>
      </c>
      <c r="G16" s="158">
        <f t="shared" si="3"/>
        <v>0</v>
      </c>
      <c r="H16" s="158">
        <f t="shared" si="3"/>
        <v>0</v>
      </c>
      <c r="I16" s="158">
        <f t="shared" si="3"/>
        <v>0</v>
      </c>
      <c r="J16" s="158">
        <f t="shared" si="3"/>
        <v>0</v>
      </c>
      <c r="K16" s="158">
        <f t="shared" si="3"/>
        <v>0</v>
      </c>
      <c r="L16" s="158">
        <f t="shared" si="3"/>
        <v>0</v>
      </c>
      <c r="M16" s="158">
        <f t="shared" si="3"/>
        <v>0</v>
      </c>
      <c r="N16" s="158">
        <f t="shared" si="3"/>
        <v>0</v>
      </c>
      <c r="O16" s="158">
        <f t="shared" si="3"/>
        <v>0</v>
      </c>
      <c r="P16" s="159">
        <f t="shared" si="3"/>
        <v>0</v>
      </c>
      <c r="R16" s="469"/>
      <c r="S16" s="159">
        <f>S7*R16</f>
        <v>0</v>
      </c>
    </row>
    <row r="17" spans="1:19" ht="15.75" thickBot="1">
      <c r="A17" s="51" t="s">
        <v>109</v>
      </c>
      <c r="B17" s="52"/>
      <c r="C17" s="53">
        <f>SUM(C14:C16)</f>
        <v>26098880.322885886</v>
      </c>
      <c r="D17" s="105">
        <f>SUM(E17:P17)+S17</f>
        <v>4087994.32410031</v>
      </c>
      <c r="E17" s="54">
        <f aca="true" t="shared" si="4" ref="E17:P17">SUM(E14:E16)</f>
        <v>2089794.3485305104</v>
      </c>
      <c r="F17" s="54">
        <f t="shared" si="4"/>
        <v>1998199.9755697995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4">
        <f t="shared" si="4"/>
        <v>0</v>
      </c>
      <c r="P17" s="55">
        <f t="shared" si="4"/>
        <v>0</v>
      </c>
      <c r="R17" s="467"/>
      <c r="S17" s="455">
        <f>SUM(S14:S16)</f>
        <v>0</v>
      </c>
    </row>
    <row r="18" spans="1:16" ht="15">
      <c r="A18" s="109"/>
      <c r="B18" s="110"/>
      <c r="C18" s="111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3:19" ht="15">
      <c r="C19" s="61"/>
      <c r="H19" s="350"/>
      <c r="R19" s="611" t="str">
        <f>'County One Time Input-GROWTH'!F35</f>
        <v>COUNTY PROTECTIVE SVC 90%</v>
      </c>
      <c r="S19" s="612">
        <f>'Monthly Receipts Input'!S29*'County One Time Input-GROWTH'!F11</f>
        <v>0</v>
      </c>
    </row>
    <row r="20" spans="18:19" ht="15">
      <c r="R20" s="611" t="str">
        <f>'County One Time Input-GROWTH'!F36</f>
        <v>COUNTY PROTECTIVE SVC 10%</v>
      </c>
      <c r="S20" s="612">
        <f>'Monthly Receipts Input'!S30*'County One Time Input-GROWTH'!F12</f>
        <v>0</v>
      </c>
    </row>
    <row r="21" spans="1:19" ht="15">
      <c r="A21" t="s">
        <v>40</v>
      </c>
      <c r="C21" s="40">
        <f>C14</f>
        <v>17676481.748337626</v>
      </c>
      <c r="D21" s="40"/>
      <c r="G21" s="24" t="str">
        <f>CONCATENATE('County One Time Input-BASE'!C2," County Distribution - SUPPORT SERVICES ACCOUNT")</f>
        <v>San Mateo County Distribution - SUPPORT SERVICES ACCOUNT</v>
      </c>
      <c r="R21" s="611" t="str">
        <f>'County One Time Input-GROWTH'!F37</f>
        <v>CWS ONLY</v>
      </c>
      <c r="S21" s="612">
        <f>'Monthly Receipts Input'!S31*'County One Time Input-GROWTH'!F13</f>
        <v>0</v>
      </c>
    </row>
    <row r="22" ht="15.75" thickBot="1"/>
    <row r="23" spans="1:19" ht="60.75" thickBot="1">
      <c r="A23" s="343" t="s">
        <v>37</v>
      </c>
      <c r="B23" s="342" t="str">
        <f>CONCATENATE('County One Time Input-BASE'!C2," County % DIST (PROG/TOT PS)")</f>
        <v>San Mateo County % DIST (PROG/TOT PS)</v>
      </c>
      <c r="C23" s="342" t="str">
        <f>CONCATENATE('County One Time Input-BASE'!C2," County Distribution to Programs")</f>
        <v>San Mateo County Distribution to Programs</v>
      </c>
      <c r="D23" s="58" t="str">
        <f>D3</f>
        <v>RECEIPTS THROUGH OCTOBER</v>
      </c>
      <c r="E23" s="27" t="s">
        <v>7</v>
      </c>
      <c r="F23" s="27" t="s">
        <v>8</v>
      </c>
      <c r="G23" s="27" t="s">
        <v>9</v>
      </c>
      <c r="H23" s="27" t="s">
        <v>10</v>
      </c>
      <c r="I23" s="27" t="s">
        <v>11</v>
      </c>
      <c r="J23" s="27" t="s">
        <v>12</v>
      </c>
      <c r="K23" s="27" t="s">
        <v>13</v>
      </c>
      <c r="L23" s="27" t="s">
        <v>14</v>
      </c>
      <c r="M23" s="27" t="s">
        <v>15</v>
      </c>
      <c r="N23" s="27" t="s">
        <v>16</v>
      </c>
      <c r="O23" s="27" t="s">
        <v>17</v>
      </c>
      <c r="P23" s="28" t="s">
        <v>18</v>
      </c>
      <c r="R23" s="450" t="s">
        <v>300</v>
      </c>
      <c r="S23" s="424" t="s">
        <v>178</v>
      </c>
    </row>
    <row r="24" spans="1:19" ht="6" customHeight="1" thickBot="1">
      <c r="A24" s="41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R24" s="634"/>
      <c r="S24" s="425"/>
    </row>
    <row r="25" spans="1:19" ht="15">
      <c r="A25" s="212" t="s">
        <v>32</v>
      </c>
      <c r="B25" s="278">
        <f>'County One Time Input-BASE'!F43</f>
        <v>0.1397985698</v>
      </c>
      <c r="C25" s="279">
        <f aca="true" t="shared" si="5" ref="C25:C30">B25*C$14</f>
        <v>2471146.8675134038</v>
      </c>
      <c r="D25" s="280">
        <f>SUM(E25:P25)+S25</f>
        <v>387106.6425543506</v>
      </c>
      <c r="E25" s="281">
        <f>E$14*$B25</f>
        <v>197882.77641473437</v>
      </c>
      <c r="F25" s="281">
        <f aca="true" t="shared" si="6" ref="F25:P25">F$14*$B25</f>
        <v>189223.86613961624</v>
      </c>
      <c r="G25" s="281">
        <f t="shared" si="6"/>
        <v>0</v>
      </c>
      <c r="H25" s="281">
        <f t="shared" si="6"/>
        <v>0</v>
      </c>
      <c r="I25" s="281">
        <f t="shared" si="6"/>
        <v>0</v>
      </c>
      <c r="J25" s="281">
        <f t="shared" si="6"/>
        <v>0</v>
      </c>
      <c r="K25" s="281">
        <f t="shared" si="6"/>
        <v>0</v>
      </c>
      <c r="L25" s="281">
        <f t="shared" si="6"/>
        <v>0</v>
      </c>
      <c r="M25" s="281">
        <f t="shared" si="6"/>
        <v>0</v>
      </c>
      <c r="N25" s="281">
        <f t="shared" si="6"/>
        <v>0</v>
      </c>
      <c r="O25" s="281">
        <f t="shared" si="6"/>
        <v>0</v>
      </c>
      <c r="P25" s="282">
        <f t="shared" si="6"/>
        <v>0</v>
      </c>
      <c r="R25" s="636">
        <f>'County One Time Input-GROWTH'!F40</f>
        <v>0.1418001943</v>
      </c>
      <c r="S25" s="282">
        <f>S$19*R25</f>
        <v>0</v>
      </c>
    </row>
    <row r="26" spans="1:19" ht="15">
      <c r="A26" s="206" t="s">
        <v>33</v>
      </c>
      <c r="B26" s="283">
        <f>'County One Time Input-BASE'!F44</f>
        <v>0.1653025075</v>
      </c>
      <c r="C26" s="284">
        <f t="shared" si="5"/>
        <v>2921966.7567781936</v>
      </c>
      <c r="D26" s="285">
        <f aca="true" t="shared" si="7" ref="D26:D53">SUM(E26:P26)+S26</f>
        <v>457727.8492597309</v>
      </c>
      <c r="E26" s="286">
        <f aca="true" t="shared" si="8" ref="E26:P30">E$14*$B26</f>
        <v>233983.21727621462</v>
      </c>
      <c r="F26" s="286">
        <f t="shared" si="8"/>
        <v>223744.63198351624</v>
      </c>
      <c r="G26" s="286">
        <f t="shared" si="8"/>
        <v>0</v>
      </c>
      <c r="H26" s="286">
        <f t="shared" si="8"/>
        <v>0</v>
      </c>
      <c r="I26" s="286">
        <f t="shared" si="8"/>
        <v>0</v>
      </c>
      <c r="J26" s="286">
        <f t="shared" si="8"/>
        <v>0</v>
      </c>
      <c r="K26" s="286">
        <f t="shared" si="8"/>
        <v>0</v>
      </c>
      <c r="L26" s="286">
        <f t="shared" si="8"/>
        <v>0</v>
      </c>
      <c r="M26" s="286">
        <f t="shared" si="8"/>
        <v>0</v>
      </c>
      <c r="N26" s="286">
        <f t="shared" si="8"/>
        <v>0</v>
      </c>
      <c r="O26" s="286">
        <f t="shared" si="8"/>
        <v>0</v>
      </c>
      <c r="P26" s="287">
        <f t="shared" si="8"/>
        <v>0</v>
      </c>
      <c r="R26" s="637">
        <f>'County One Time Input-GROWTH'!F41</f>
        <v>0.1676692953</v>
      </c>
      <c r="S26" s="287">
        <f>S$19*R26</f>
        <v>0</v>
      </c>
    </row>
    <row r="27" spans="1:19" ht="15">
      <c r="A27" s="206" t="s">
        <v>34</v>
      </c>
      <c r="B27" s="283">
        <f>'County One Time Input-BASE'!F45</f>
        <v>0.0698448805</v>
      </c>
      <c r="C27" s="284">
        <f t="shared" si="5"/>
        <v>1234611.7553730726</v>
      </c>
      <c r="D27" s="285">
        <f t="shared" si="7"/>
        <v>193402.67378017792</v>
      </c>
      <c r="E27" s="286">
        <f t="shared" si="8"/>
        <v>98864.37959607324</v>
      </c>
      <c r="F27" s="286">
        <f t="shared" si="8"/>
        <v>94538.29418410468</v>
      </c>
      <c r="G27" s="286">
        <f t="shared" si="8"/>
        <v>0</v>
      </c>
      <c r="H27" s="286">
        <f t="shared" si="8"/>
        <v>0</v>
      </c>
      <c r="I27" s="286">
        <f t="shared" si="8"/>
        <v>0</v>
      </c>
      <c r="J27" s="286">
        <f t="shared" si="8"/>
        <v>0</v>
      </c>
      <c r="K27" s="286">
        <f t="shared" si="8"/>
        <v>0</v>
      </c>
      <c r="L27" s="286">
        <f t="shared" si="8"/>
        <v>0</v>
      </c>
      <c r="M27" s="286">
        <f t="shared" si="8"/>
        <v>0</v>
      </c>
      <c r="N27" s="286">
        <f t="shared" si="8"/>
        <v>0</v>
      </c>
      <c r="O27" s="286">
        <f t="shared" si="8"/>
        <v>0</v>
      </c>
      <c r="P27" s="287">
        <f t="shared" si="8"/>
        <v>0</v>
      </c>
      <c r="R27" s="637">
        <f>'County One Time Input-GROWTH'!F42</f>
        <v>0.0708449138</v>
      </c>
      <c r="S27" s="287">
        <f>S$19*R27</f>
        <v>0</v>
      </c>
    </row>
    <row r="28" spans="1:19" ht="15">
      <c r="A28" s="206" t="s">
        <v>35</v>
      </c>
      <c r="B28" s="283">
        <f>'County One Time Input-BASE'!F46</f>
        <v>0.0123841763</v>
      </c>
      <c r="C28" s="284">
        <f t="shared" si="5"/>
        <v>218908.66633514542</v>
      </c>
      <c r="D28" s="285">
        <f t="shared" si="7"/>
        <v>34292.17419858154</v>
      </c>
      <c r="E28" s="286">
        <f t="shared" si="8"/>
        <v>17529.615598782417</v>
      </c>
      <c r="F28" s="286">
        <f t="shared" si="8"/>
        <v>16762.558599799122</v>
      </c>
      <c r="G28" s="286">
        <f t="shared" si="8"/>
        <v>0</v>
      </c>
      <c r="H28" s="286">
        <f t="shared" si="8"/>
        <v>0</v>
      </c>
      <c r="I28" s="286">
        <f t="shared" si="8"/>
        <v>0</v>
      </c>
      <c r="J28" s="286">
        <f t="shared" si="8"/>
        <v>0</v>
      </c>
      <c r="K28" s="286">
        <f t="shared" si="8"/>
        <v>0</v>
      </c>
      <c r="L28" s="286">
        <f t="shared" si="8"/>
        <v>0</v>
      </c>
      <c r="M28" s="286">
        <f t="shared" si="8"/>
        <v>0</v>
      </c>
      <c r="N28" s="286">
        <f t="shared" si="8"/>
        <v>0</v>
      </c>
      <c r="O28" s="286">
        <f t="shared" si="8"/>
        <v>0</v>
      </c>
      <c r="P28" s="287">
        <f t="shared" si="8"/>
        <v>0</v>
      </c>
      <c r="R28" s="637">
        <f>'County One Time Input-GROWTH'!F43</f>
        <v>0.012561492</v>
      </c>
      <c r="S28" s="287">
        <f>S$19*R28</f>
        <v>0</v>
      </c>
    </row>
    <row r="29" spans="1:19" ht="15">
      <c r="A29" s="206" t="s">
        <v>30</v>
      </c>
      <c r="B29" s="283">
        <f>'County One Time Input-BASE'!F47</f>
        <v>0.0686299199</v>
      </c>
      <c r="C29" s="284">
        <f t="shared" si="5"/>
        <v>1213135.5265022232</v>
      </c>
      <c r="D29" s="285">
        <f t="shared" si="7"/>
        <v>190038.4096151391</v>
      </c>
      <c r="E29" s="286">
        <f t="shared" si="8"/>
        <v>97144.62110994235</v>
      </c>
      <c r="F29" s="286">
        <f t="shared" si="8"/>
        <v>92893.78850519675</v>
      </c>
      <c r="G29" s="286">
        <f t="shared" si="8"/>
        <v>0</v>
      </c>
      <c r="H29" s="286">
        <f t="shared" si="8"/>
        <v>0</v>
      </c>
      <c r="I29" s="286">
        <f t="shared" si="8"/>
        <v>0</v>
      </c>
      <c r="J29" s="286">
        <f t="shared" si="8"/>
        <v>0</v>
      </c>
      <c r="K29" s="286">
        <f t="shared" si="8"/>
        <v>0</v>
      </c>
      <c r="L29" s="286">
        <f t="shared" si="8"/>
        <v>0</v>
      </c>
      <c r="M29" s="286">
        <f t="shared" si="8"/>
        <v>0</v>
      </c>
      <c r="N29" s="286">
        <f t="shared" si="8"/>
        <v>0</v>
      </c>
      <c r="O29" s="286">
        <f t="shared" si="8"/>
        <v>0</v>
      </c>
      <c r="P29" s="287">
        <f t="shared" si="8"/>
        <v>0</v>
      </c>
      <c r="R29" s="637">
        <f>'County One Time Input-GROWTH'!F44</f>
        <v>0.0696125575</v>
      </c>
      <c r="S29" s="287">
        <f>S$19*R29</f>
        <v>0</v>
      </c>
    </row>
    <row r="30" spans="1:19" ht="15">
      <c r="A30" s="206" t="s">
        <v>36</v>
      </c>
      <c r="B30" s="283">
        <f>'County One Time Input-BASE'!F48</f>
        <v>0.489365119</v>
      </c>
      <c r="C30" s="284">
        <f t="shared" si="5"/>
        <v>8650253.594276572</v>
      </c>
      <c r="D30" s="285">
        <f t="shared" si="7"/>
        <v>1355067.4264430155</v>
      </c>
      <c r="E30" s="286">
        <f t="shared" si="8"/>
        <v>692688.9779114671</v>
      </c>
      <c r="F30" s="286">
        <f t="shared" si="8"/>
        <v>662378.4485315484</v>
      </c>
      <c r="G30" s="286">
        <f t="shared" si="8"/>
        <v>0</v>
      </c>
      <c r="H30" s="286">
        <f t="shared" si="8"/>
        <v>0</v>
      </c>
      <c r="I30" s="286">
        <f t="shared" si="8"/>
        <v>0</v>
      </c>
      <c r="J30" s="286">
        <f t="shared" si="8"/>
        <v>0</v>
      </c>
      <c r="K30" s="286">
        <f t="shared" si="8"/>
        <v>0</v>
      </c>
      <c r="L30" s="286">
        <f t="shared" si="8"/>
        <v>0</v>
      </c>
      <c r="M30" s="286">
        <f t="shared" si="8"/>
        <v>0</v>
      </c>
      <c r="N30" s="286">
        <f t="shared" si="8"/>
        <v>0</v>
      </c>
      <c r="O30" s="286">
        <f t="shared" si="8"/>
        <v>0</v>
      </c>
      <c r="P30" s="287">
        <f t="shared" si="8"/>
        <v>0</v>
      </c>
      <c r="R30" s="637">
        <f>'County One Time Input-GROWTH'!F45</f>
        <v>0.4963718089</v>
      </c>
      <c r="S30" s="287">
        <f>(S$19*R30)+S20+S21</f>
        <v>0</v>
      </c>
    </row>
    <row r="31" spans="1:19" ht="15.75" hidden="1" outlineLevel="1">
      <c r="A31" s="288"/>
      <c r="B31" s="289" t="s">
        <v>73</v>
      </c>
      <c r="C31" s="290"/>
      <c r="D31" s="291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3"/>
      <c r="R31" s="638"/>
      <c r="S31" s="293" t="e">
        <f aca="true" t="shared" si="9" ref="S31:S52">S$20*$B31</f>
        <v>#VALUE!</v>
      </c>
    </row>
    <row r="32" spans="1:19" ht="15" hidden="1" outlineLevel="1">
      <c r="A32" s="294" t="s">
        <v>48</v>
      </c>
      <c r="B32" s="295">
        <v>0.0015778427</v>
      </c>
      <c r="C32" s="290">
        <f aca="true" t="shared" si="10" ref="C32:C44">$C$30*B32</f>
        <v>13648.73948687805</v>
      </c>
      <c r="D32" s="291">
        <f t="shared" si="7"/>
        <v>2138.0832468208987</v>
      </c>
      <c r="E32" s="292">
        <f aca="true" t="shared" si="11" ref="E32:P44">+E$30*$B32</f>
        <v>1092.9542471680695</v>
      </c>
      <c r="F32" s="292">
        <f t="shared" si="11"/>
        <v>1045.1289996528292</v>
      </c>
      <c r="G32" s="292">
        <f t="shared" si="11"/>
        <v>0</v>
      </c>
      <c r="H32" s="292">
        <f t="shared" si="11"/>
        <v>0</v>
      </c>
      <c r="I32" s="292">
        <f t="shared" si="11"/>
        <v>0</v>
      </c>
      <c r="J32" s="292">
        <f t="shared" si="11"/>
        <v>0</v>
      </c>
      <c r="K32" s="292">
        <f t="shared" si="11"/>
        <v>0</v>
      </c>
      <c r="L32" s="292">
        <f t="shared" si="11"/>
        <v>0</v>
      </c>
      <c r="M32" s="292">
        <f t="shared" si="11"/>
        <v>0</v>
      </c>
      <c r="N32" s="292">
        <f t="shared" si="11"/>
        <v>0</v>
      </c>
      <c r="O32" s="292">
        <f t="shared" si="11"/>
        <v>0</v>
      </c>
      <c r="P32" s="293">
        <f t="shared" si="11"/>
        <v>0</v>
      </c>
      <c r="R32" s="639"/>
      <c r="S32" s="293">
        <f t="shared" si="9"/>
        <v>0</v>
      </c>
    </row>
    <row r="33" spans="1:19" ht="15" hidden="1" outlineLevel="1">
      <c r="A33" s="294" t="s">
        <v>49</v>
      </c>
      <c r="B33" s="295">
        <v>0.0083709851</v>
      </c>
      <c r="C33" s="290">
        <f t="shared" si="10"/>
        <v>72411.14394891063</v>
      </c>
      <c r="D33" s="291">
        <f t="shared" si="7"/>
        <v>11343.24923624983</v>
      </c>
      <c r="E33" s="292">
        <f t="shared" si="11"/>
        <v>5798.489113031121</v>
      </c>
      <c r="F33" s="292">
        <f t="shared" si="11"/>
        <v>5544.760123218709</v>
      </c>
      <c r="G33" s="292">
        <f t="shared" si="11"/>
        <v>0</v>
      </c>
      <c r="H33" s="292">
        <f t="shared" si="11"/>
        <v>0</v>
      </c>
      <c r="I33" s="292">
        <f t="shared" si="11"/>
        <v>0</v>
      </c>
      <c r="J33" s="292">
        <f t="shared" si="11"/>
        <v>0</v>
      </c>
      <c r="K33" s="292">
        <f t="shared" si="11"/>
        <v>0</v>
      </c>
      <c r="L33" s="292">
        <f t="shared" si="11"/>
        <v>0</v>
      </c>
      <c r="M33" s="292">
        <f t="shared" si="11"/>
        <v>0</v>
      </c>
      <c r="N33" s="292">
        <f t="shared" si="11"/>
        <v>0</v>
      </c>
      <c r="O33" s="292">
        <f t="shared" si="11"/>
        <v>0</v>
      </c>
      <c r="P33" s="293">
        <f t="shared" si="11"/>
        <v>0</v>
      </c>
      <c r="R33" s="639"/>
      <c r="S33" s="293">
        <f t="shared" si="9"/>
        <v>0</v>
      </c>
    </row>
    <row r="34" spans="1:19" ht="15" hidden="1" outlineLevel="1">
      <c r="A34" s="294" t="s">
        <v>50</v>
      </c>
      <c r="B34" s="295">
        <v>0.0093834527</v>
      </c>
      <c r="C34" s="290">
        <f t="shared" si="10"/>
        <v>81169.24544489919</v>
      </c>
      <c r="D34" s="291">
        <f t="shared" si="7"/>
        <v>12715.211101338764</v>
      </c>
      <c r="E34" s="292">
        <f t="shared" si="11"/>
        <v>6499.814260043596</v>
      </c>
      <c r="F34" s="292">
        <f t="shared" si="11"/>
        <v>6215.396841295168</v>
      </c>
      <c r="G34" s="292">
        <f t="shared" si="11"/>
        <v>0</v>
      </c>
      <c r="H34" s="292">
        <f t="shared" si="11"/>
        <v>0</v>
      </c>
      <c r="I34" s="292">
        <f t="shared" si="11"/>
        <v>0</v>
      </c>
      <c r="J34" s="292">
        <f t="shared" si="11"/>
        <v>0</v>
      </c>
      <c r="K34" s="292">
        <f t="shared" si="11"/>
        <v>0</v>
      </c>
      <c r="L34" s="292">
        <f t="shared" si="11"/>
        <v>0</v>
      </c>
      <c r="M34" s="292">
        <f t="shared" si="11"/>
        <v>0</v>
      </c>
      <c r="N34" s="292">
        <f t="shared" si="11"/>
        <v>0</v>
      </c>
      <c r="O34" s="292">
        <f t="shared" si="11"/>
        <v>0</v>
      </c>
      <c r="P34" s="293">
        <f t="shared" si="11"/>
        <v>0</v>
      </c>
      <c r="R34" s="639"/>
      <c r="S34" s="293">
        <f t="shared" si="9"/>
        <v>0</v>
      </c>
    </row>
    <row r="35" spans="1:19" ht="15" hidden="1" outlineLevel="1">
      <c r="A35" s="294" t="s">
        <v>51</v>
      </c>
      <c r="B35" s="295">
        <v>0.0146007374</v>
      </c>
      <c r="C35" s="290">
        <f t="shared" si="10"/>
        <v>126300.08117343836</v>
      </c>
      <c r="D35" s="291">
        <f t="shared" si="7"/>
        <v>19784.983652788284</v>
      </c>
      <c r="E35" s="292">
        <f t="shared" si="11"/>
        <v>10113.769866359731</v>
      </c>
      <c r="F35" s="292">
        <f t="shared" si="11"/>
        <v>9671.213786428552</v>
      </c>
      <c r="G35" s="292">
        <f t="shared" si="11"/>
        <v>0</v>
      </c>
      <c r="H35" s="292">
        <f t="shared" si="11"/>
        <v>0</v>
      </c>
      <c r="I35" s="292">
        <f t="shared" si="11"/>
        <v>0</v>
      </c>
      <c r="J35" s="292">
        <f t="shared" si="11"/>
        <v>0</v>
      </c>
      <c r="K35" s="292">
        <f t="shared" si="11"/>
        <v>0</v>
      </c>
      <c r="L35" s="292">
        <f t="shared" si="11"/>
        <v>0</v>
      </c>
      <c r="M35" s="292">
        <f t="shared" si="11"/>
        <v>0</v>
      </c>
      <c r="N35" s="292">
        <f t="shared" si="11"/>
        <v>0</v>
      </c>
      <c r="O35" s="292">
        <f t="shared" si="11"/>
        <v>0</v>
      </c>
      <c r="P35" s="293">
        <f t="shared" si="11"/>
        <v>0</v>
      </c>
      <c r="R35" s="639"/>
      <c r="S35" s="293">
        <f t="shared" si="9"/>
        <v>0</v>
      </c>
    </row>
    <row r="36" spans="1:19" ht="15" hidden="1" outlineLevel="1">
      <c r="A36" s="294" t="s">
        <v>52</v>
      </c>
      <c r="B36" s="295">
        <v>0.0011031938</v>
      </c>
      <c r="C36" s="290">
        <f t="shared" si="10"/>
        <v>9542.906133633629</v>
      </c>
      <c r="D36" s="291">
        <f t="shared" si="7"/>
        <v>1494.9019834338906</v>
      </c>
      <c r="E36" s="292">
        <f t="shared" si="11"/>
        <v>764.1701857602674</v>
      </c>
      <c r="F36" s="292">
        <f t="shared" si="11"/>
        <v>730.7317976736233</v>
      </c>
      <c r="G36" s="292">
        <f t="shared" si="11"/>
        <v>0</v>
      </c>
      <c r="H36" s="292">
        <f t="shared" si="11"/>
        <v>0</v>
      </c>
      <c r="I36" s="292">
        <f t="shared" si="11"/>
        <v>0</v>
      </c>
      <c r="J36" s="292">
        <f t="shared" si="11"/>
        <v>0</v>
      </c>
      <c r="K36" s="292">
        <f t="shared" si="11"/>
        <v>0</v>
      </c>
      <c r="L36" s="292">
        <f t="shared" si="11"/>
        <v>0</v>
      </c>
      <c r="M36" s="292">
        <f t="shared" si="11"/>
        <v>0</v>
      </c>
      <c r="N36" s="292">
        <f t="shared" si="11"/>
        <v>0</v>
      </c>
      <c r="O36" s="292">
        <f t="shared" si="11"/>
        <v>0</v>
      </c>
      <c r="P36" s="293">
        <f t="shared" si="11"/>
        <v>0</v>
      </c>
      <c r="R36" s="639"/>
      <c r="S36" s="293">
        <f t="shared" si="9"/>
        <v>0</v>
      </c>
    </row>
    <row r="37" spans="1:19" ht="15" hidden="1" outlineLevel="1">
      <c r="A37" s="294" t="s">
        <v>53</v>
      </c>
      <c r="B37" s="295">
        <v>0.0013877496</v>
      </c>
      <c r="C37" s="290">
        <f t="shared" si="10"/>
        <v>12004.385965355874</v>
      </c>
      <c r="D37" s="291">
        <f t="shared" si="7"/>
        <v>1880.494279019324</v>
      </c>
      <c r="E37" s="292">
        <f t="shared" si="11"/>
        <v>961.2788520210472</v>
      </c>
      <c r="F37" s="292">
        <f t="shared" si="11"/>
        <v>919.2154269982768</v>
      </c>
      <c r="G37" s="292">
        <f t="shared" si="11"/>
        <v>0</v>
      </c>
      <c r="H37" s="292">
        <f t="shared" si="11"/>
        <v>0</v>
      </c>
      <c r="I37" s="292">
        <f t="shared" si="11"/>
        <v>0</v>
      </c>
      <c r="J37" s="292">
        <f t="shared" si="11"/>
        <v>0</v>
      </c>
      <c r="K37" s="292">
        <f t="shared" si="11"/>
        <v>0</v>
      </c>
      <c r="L37" s="292">
        <f t="shared" si="11"/>
        <v>0</v>
      </c>
      <c r="M37" s="292">
        <f t="shared" si="11"/>
        <v>0</v>
      </c>
      <c r="N37" s="292">
        <f t="shared" si="11"/>
        <v>0</v>
      </c>
      <c r="O37" s="292">
        <f t="shared" si="11"/>
        <v>0</v>
      </c>
      <c r="P37" s="293">
        <f t="shared" si="11"/>
        <v>0</v>
      </c>
      <c r="R37" s="639"/>
      <c r="S37" s="293">
        <f t="shared" si="9"/>
        <v>0</v>
      </c>
    </row>
    <row r="38" spans="1:19" ht="15" hidden="1" outlineLevel="1">
      <c r="A38" s="294" t="s">
        <v>54</v>
      </c>
      <c r="B38" s="295">
        <v>0</v>
      </c>
      <c r="C38" s="290">
        <f t="shared" si="10"/>
        <v>0</v>
      </c>
      <c r="D38" s="291">
        <f t="shared" si="7"/>
        <v>0</v>
      </c>
      <c r="E38" s="292">
        <f t="shared" si="11"/>
        <v>0</v>
      </c>
      <c r="F38" s="292">
        <f t="shared" si="11"/>
        <v>0</v>
      </c>
      <c r="G38" s="292">
        <f t="shared" si="11"/>
        <v>0</v>
      </c>
      <c r="H38" s="292">
        <f t="shared" si="11"/>
        <v>0</v>
      </c>
      <c r="I38" s="292">
        <f t="shared" si="11"/>
        <v>0</v>
      </c>
      <c r="J38" s="292">
        <f t="shared" si="11"/>
        <v>0</v>
      </c>
      <c r="K38" s="292">
        <f t="shared" si="11"/>
        <v>0</v>
      </c>
      <c r="L38" s="292">
        <f t="shared" si="11"/>
        <v>0</v>
      </c>
      <c r="M38" s="292">
        <f t="shared" si="11"/>
        <v>0</v>
      </c>
      <c r="N38" s="292">
        <f t="shared" si="11"/>
        <v>0</v>
      </c>
      <c r="O38" s="292">
        <f t="shared" si="11"/>
        <v>0</v>
      </c>
      <c r="P38" s="293">
        <f t="shared" si="11"/>
        <v>0</v>
      </c>
      <c r="R38" s="639"/>
      <c r="S38" s="293">
        <f t="shared" si="9"/>
        <v>0</v>
      </c>
    </row>
    <row r="39" spans="1:19" ht="15" hidden="1" outlineLevel="1">
      <c r="A39" s="294" t="s">
        <v>55</v>
      </c>
      <c r="B39" s="295">
        <v>0.0731161313</v>
      </c>
      <c r="C39" s="290">
        <f t="shared" si="10"/>
        <v>632473.0775774227</v>
      </c>
      <c r="D39" s="291">
        <f t="shared" si="7"/>
        <v>99077.28787216061</v>
      </c>
      <c r="E39" s="292">
        <f t="shared" si="11"/>
        <v>50646.73825903762</v>
      </c>
      <c r="F39" s="292">
        <f t="shared" si="11"/>
        <v>48430.54961312298</v>
      </c>
      <c r="G39" s="292">
        <f t="shared" si="11"/>
        <v>0</v>
      </c>
      <c r="H39" s="292">
        <f t="shared" si="11"/>
        <v>0</v>
      </c>
      <c r="I39" s="292">
        <f t="shared" si="11"/>
        <v>0</v>
      </c>
      <c r="J39" s="292">
        <f t="shared" si="11"/>
        <v>0</v>
      </c>
      <c r="K39" s="292">
        <f t="shared" si="11"/>
        <v>0</v>
      </c>
      <c r="L39" s="292">
        <f t="shared" si="11"/>
        <v>0</v>
      </c>
      <c r="M39" s="292">
        <f t="shared" si="11"/>
        <v>0</v>
      </c>
      <c r="N39" s="292">
        <f t="shared" si="11"/>
        <v>0</v>
      </c>
      <c r="O39" s="292">
        <f t="shared" si="11"/>
        <v>0</v>
      </c>
      <c r="P39" s="293">
        <f t="shared" si="11"/>
        <v>0</v>
      </c>
      <c r="R39" s="639"/>
      <c r="S39" s="293">
        <f t="shared" si="9"/>
        <v>0</v>
      </c>
    </row>
    <row r="40" spans="1:19" ht="15" hidden="1" outlineLevel="1">
      <c r="A40" s="294" t="s">
        <v>56</v>
      </c>
      <c r="B40" s="295">
        <v>0.156273218</v>
      </c>
      <c r="C40" s="290">
        <f t="shared" si="10"/>
        <v>1351802.9656936661</v>
      </c>
      <c r="D40" s="291">
        <f t="shared" si="7"/>
        <v>211760.74733722833</v>
      </c>
      <c r="E40" s="292">
        <f t="shared" si="11"/>
        <v>108248.73565135588</v>
      </c>
      <c r="F40" s="292">
        <f t="shared" si="11"/>
        <v>103512.01168587244</v>
      </c>
      <c r="G40" s="292">
        <f t="shared" si="11"/>
        <v>0</v>
      </c>
      <c r="H40" s="292">
        <f t="shared" si="11"/>
        <v>0</v>
      </c>
      <c r="I40" s="292">
        <f t="shared" si="11"/>
        <v>0</v>
      </c>
      <c r="J40" s="292">
        <f t="shared" si="11"/>
        <v>0</v>
      </c>
      <c r="K40" s="292">
        <f t="shared" si="11"/>
        <v>0</v>
      </c>
      <c r="L40" s="292">
        <f t="shared" si="11"/>
        <v>0</v>
      </c>
      <c r="M40" s="292">
        <f t="shared" si="11"/>
        <v>0</v>
      </c>
      <c r="N40" s="292">
        <f t="shared" si="11"/>
        <v>0</v>
      </c>
      <c r="O40" s="292">
        <f t="shared" si="11"/>
        <v>0</v>
      </c>
      <c r="P40" s="293">
        <f t="shared" si="11"/>
        <v>0</v>
      </c>
      <c r="R40" s="639"/>
      <c r="S40" s="293">
        <f t="shared" si="9"/>
        <v>0</v>
      </c>
    </row>
    <row r="41" spans="1:19" ht="15" hidden="1" outlineLevel="1">
      <c r="A41" s="294" t="s">
        <v>57</v>
      </c>
      <c r="B41" s="295">
        <v>0.001167648</v>
      </c>
      <c r="C41" s="290">
        <f t="shared" si="10"/>
        <v>10100.451308849852</v>
      </c>
      <c r="D41" s="291">
        <f t="shared" si="7"/>
        <v>1582.2417703513343</v>
      </c>
      <c r="E41" s="292">
        <f t="shared" si="11"/>
        <v>808.8168996803688</v>
      </c>
      <c r="F41" s="292">
        <f t="shared" si="11"/>
        <v>773.4248706709654</v>
      </c>
      <c r="G41" s="292">
        <f t="shared" si="11"/>
        <v>0</v>
      </c>
      <c r="H41" s="292">
        <f t="shared" si="11"/>
        <v>0</v>
      </c>
      <c r="I41" s="292">
        <f t="shared" si="11"/>
        <v>0</v>
      </c>
      <c r="J41" s="292">
        <f t="shared" si="11"/>
        <v>0</v>
      </c>
      <c r="K41" s="292">
        <f t="shared" si="11"/>
        <v>0</v>
      </c>
      <c r="L41" s="292">
        <f t="shared" si="11"/>
        <v>0</v>
      </c>
      <c r="M41" s="292">
        <f t="shared" si="11"/>
        <v>0</v>
      </c>
      <c r="N41" s="292">
        <f t="shared" si="11"/>
        <v>0</v>
      </c>
      <c r="O41" s="292">
        <f t="shared" si="11"/>
        <v>0</v>
      </c>
      <c r="P41" s="293">
        <f t="shared" si="11"/>
        <v>0</v>
      </c>
      <c r="R41" s="639"/>
      <c r="S41" s="293">
        <f t="shared" si="9"/>
        <v>0</v>
      </c>
    </row>
    <row r="42" spans="1:19" ht="15" hidden="1" outlineLevel="1">
      <c r="A42" s="294" t="s">
        <v>58</v>
      </c>
      <c r="B42" s="295">
        <v>0.0147322145</v>
      </c>
      <c r="C42" s="290">
        <f t="shared" si="10"/>
        <v>127437.39143027843</v>
      </c>
      <c r="D42" s="291">
        <f t="shared" si="7"/>
        <v>19963.143988321477</v>
      </c>
      <c r="E42" s="292">
        <f t="shared" si="11"/>
        <v>10204.842604377494</v>
      </c>
      <c r="F42" s="292">
        <f t="shared" si="11"/>
        <v>9758.30138394398</v>
      </c>
      <c r="G42" s="292">
        <f t="shared" si="11"/>
        <v>0</v>
      </c>
      <c r="H42" s="292">
        <f t="shared" si="11"/>
        <v>0</v>
      </c>
      <c r="I42" s="292">
        <f t="shared" si="11"/>
        <v>0</v>
      </c>
      <c r="J42" s="292">
        <f t="shared" si="11"/>
        <v>0</v>
      </c>
      <c r="K42" s="292">
        <f t="shared" si="11"/>
        <v>0</v>
      </c>
      <c r="L42" s="292">
        <f t="shared" si="11"/>
        <v>0</v>
      </c>
      <c r="M42" s="292">
        <f t="shared" si="11"/>
        <v>0</v>
      </c>
      <c r="N42" s="292">
        <f t="shared" si="11"/>
        <v>0</v>
      </c>
      <c r="O42" s="292">
        <f t="shared" si="11"/>
        <v>0</v>
      </c>
      <c r="P42" s="293">
        <f t="shared" si="11"/>
        <v>0</v>
      </c>
      <c r="R42" s="639"/>
      <c r="S42" s="293">
        <f t="shared" si="9"/>
        <v>0</v>
      </c>
    </row>
    <row r="43" spans="1:19" ht="15" hidden="1" outlineLevel="1">
      <c r="A43" s="294" t="s">
        <v>59</v>
      </c>
      <c r="B43" s="295">
        <v>0.1723665597</v>
      </c>
      <c r="C43" s="290">
        <f t="shared" si="10"/>
        <v>1491014.4525780124</v>
      </c>
      <c r="D43" s="291">
        <f t="shared" si="7"/>
        <v>233568.31045751538</v>
      </c>
      <c r="E43" s="292">
        <f t="shared" si="11"/>
        <v>119396.41606470887</v>
      </c>
      <c r="F43" s="292">
        <f t="shared" si="11"/>
        <v>114171.89439280651</v>
      </c>
      <c r="G43" s="292">
        <f t="shared" si="11"/>
        <v>0</v>
      </c>
      <c r="H43" s="292">
        <f t="shared" si="11"/>
        <v>0</v>
      </c>
      <c r="I43" s="292">
        <f t="shared" si="11"/>
        <v>0</v>
      </c>
      <c r="J43" s="292">
        <f t="shared" si="11"/>
        <v>0</v>
      </c>
      <c r="K43" s="292">
        <f t="shared" si="11"/>
        <v>0</v>
      </c>
      <c r="L43" s="292">
        <f t="shared" si="11"/>
        <v>0</v>
      </c>
      <c r="M43" s="292">
        <f t="shared" si="11"/>
        <v>0</v>
      </c>
      <c r="N43" s="292">
        <f t="shared" si="11"/>
        <v>0</v>
      </c>
      <c r="O43" s="292">
        <f t="shared" si="11"/>
        <v>0</v>
      </c>
      <c r="P43" s="293">
        <f t="shared" si="11"/>
        <v>0</v>
      </c>
      <c r="R43" s="639"/>
      <c r="S43" s="293">
        <f t="shared" si="9"/>
        <v>0</v>
      </c>
    </row>
    <row r="44" spans="1:19" ht="15" hidden="1" outlineLevel="1">
      <c r="A44" s="296" t="s">
        <v>60</v>
      </c>
      <c r="B44" s="295">
        <v>0.5459202672</v>
      </c>
      <c r="C44" s="290">
        <f t="shared" si="10"/>
        <v>4722348.753535226</v>
      </c>
      <c r="D44" s="291">
        <f t="shared" si="7"/>
        <v>739758.7715177874</v>
      </c>
      <c r="E44" s="292">
        <f t="shared" si="11"/>
        <v>378152.951907923</v>
      </c>
      <c r="F44" s="292">
        <f t="shared" si="11"/>
        <v>361605.8196098643</v>
      </c>
      <c r="G44" s="292">
        <f t="shared" si="11"/>
        <v>0</v>
      </c>
      <c r="H44" s="292">
        <f>SUM(H30-SUM(H32:H43))</f>
        <v>0</v>
      </c>
      <c r="I44" s="292">
        <f t="shared" si="11"/>
        <v>0</v>
      </c>
      <c r="J44" s="292">
        <f t="shared" si="11"/>
        <v>0</v>
      </c>
      <c r="K44" s="292">
        <f t="shared" si="11"/>
        <v>0</v>
      </c>
      <c r="L44" s="292">
        <f t="shared" si="11"/>
        <v>0</v>
      </c>
      <c r="M44" s="292">
        <f t="shared" si="11"/>
        <v>0</v>
      </c>
      <c r="N44" s="292">
        <f t="shared" si="11"/>
        <v>0</v>
      </c>
      <c r="O44" s="292">
        <f t="shared" si="11"/>
        <v>0</v>
      </c>
      <c r="P44" s="293">
        <f t="shared" si="11"/>
        <v>0</v>
      </c>
      <c r="R44" s="639"/>
      <c r="S44" s="293">
        <f t="shared" si="9"/>
        <v>0</v>
      </c>
    </row>
    <row r="45" spans="1:19" ht="15" hidden="1" outlineLevel="1">
      <c r="A45" s="297" t="s">
        <v>80</v>
      </c>
      <c r="B45" s="298">
        <f aca="true" t="shared" si="12" ref="B45:P45">SUBTOTAL(9,B32:B44)</f>
        <v>1</v>
      </c>
      <c r="C45" s="299">
        <f t="shared" si="12"/>
        <v>8650253.59427657</v>
      </c>
      <c r="D45" s="299">
        <f t="shared" si="7"/>
        <v>1355067.4264430152</v>
      </c>
      <c r="E45" s="300">
        <f t="shared" si="12"/>
        <v>692688.977911467</v>
      </c>
      <c r="F45" s="300">
        <f t="shared" si="12"/>
        <v>662378.4485315484</v>
      </c>
      <c r="G45" s="300">
        <f t="shared" si="12"/>
        <v>0</v>
      </c>
      <c r="H45" s="300">
        <f t="shared" si="12"/>
        <v>0</v>
      </c>
      <c r="I45" s="300">
        <f t="shared" si="12"/>
        <v>0</v>
      </c>
      <c r="J45" s="300">
        <f t="shared" si="12"/>
        <v>0</v>
      </c>
      <c r="K45" s="300">
        <f t="shared" si="12"/>
        <v>0</v>
      </c>
      <c r="L45" s="300">
        <f t="shared" si="12"/>
        <v>0</v>
      </c>
      <c r="M45" s="300">
        <f t="shared" si="12"/>
        <v>0</v>
      </c>
      <c r="N45" s="300">
        <f t="shared" si="12"/>
        <v>0</v>
      </c>
      <c r="O45" s="300">
        <f t="shared" si="12"/>
        <v>0</v>
      </c>
      <c r="P45" s="301">
        <f t="shared" si="12"/>
        <v>0</v>
      </c>
      <c r="R45" s="640"/>
      <c r="S45" s="301">
        <f t="shared" si="9"/>
        <v>0</v>
      </c>
    </row>
    <row r="46" spans="1:19" ht="15" collapsed="1">
      <c r="A46" s="206" t="s">
        <v>28</v>
      </c>
      <c r="B46" s="302">
        <f>'County One Time Input-BASE'!F49</f>
        <v>0.0257732782</v>
      </c>
      <c r="C46" s="284">
        <f>B46*C$14</f>
        <v>455580.881697128</v>
      </c>
      <c r="D46" s="285">
        <f t="shared" si="7"/>
        <v>71367.01903241672</v>
      </c>
      <c r="E46" s="286">
        <f aca="true" t="shared" si="13" ref="E46:P47">E$14*$B46</f>
        <v>36481.68829496386</v>
      </c>
      <c r="F46" s="286">
        <f t="shared" si="13"/>
        <v>34885.33073745286</v>
      </c>
      <c r="G46" s="286">
        <f t="shared" si="13"/>
        <v>0</v>
      </c>
      <c r="H46" s="286">
        <f t="shared" si="13"/>
        <v>0</v>
      </c>
      <c r="I46" s="286">
        <f t="shared" si="13"/>
        <v>0</v>
      </c>
      <c r="J46" s="286">
        <f t="shared" si="13"/>
        <v>0</v>
      </c>
      <c r="K46" s="286">
        <f t="shared" si="13"/>
        <v>0</v>
      </c>
      <c r="L46" s="286">
        <f t="shared" si="13"/>
        <v>0</v>
      </c>
      <c r="M46" s="286">
        <f t="shared" si="13"/>
        <v>0</v>
      </c>
      <c r="N46" s="286">
        <f t="shared" si="13"/>
        <v>0</v>
      </c>
      <c r="O46" s="286">
        <f t="shared" si="13"/>
        <v>0</v>
      </c>
      <c r="P46" s="287">
        <f t="shared" si="13"/>
        <v>0</v>
      </c>
      <c r="R46" s="641">
        <f>'County One Time Input-GROWTH'!F46</f>
        <v>0.0118243794</v>
      </c>
      <c r="S46" s="287">
        <f>S$19*R46</f>
        <v>0</v>
      </c>
    </row>
    <row r="47" spans="1:19" ht="15">
      <c r="A47" s="208" t="s">
        <v>29</v>
      </c>
      <c r="B47" s="302">
        <f>'County One Time Input-BASE'!F50</f>
        <v>0.0289015488</v>
      </c>
      <c r="C47" s="284">
        <f>B47*C$14</f>
        <v>510877.69986188924</v>
      </c>
      <c r="D47" s="285">
        <f t="shared" si="7"/>
        <v>80029.29884472053</v>
      </c>
      <c r="E47" s="286">
        <f t="shared" si="13"/>
        <v>40909.70835690148</v>
      </c>
      <c r="F47" s="286">
        <f t="shared" si="13"/>
        <v>39119.59048781904</v>
      </c>
      <c r="G47" s="286">
        <f t="shared" si="13"/>
        <v>0</v>
      </c>
      <c r="H47" s="286">
        <f t="shared" si="13"/>
        <v>0</v>
      </c>
      <c r="I47" s="286">
        <f t="shared" si="13"/>
        <v>0</v>
      </c>
      <c r="J47" s="286">
        <f t="shared" si="13"/>
        <v>0</v>
      </c>
      <c r="K47" s="286">
        <f t="shared" si="13"/>
        <v>0</v>
      </c>
      <c r="L47" s="286">
        <f t="shared" si="13"/>
        <v>0</v>
      </c>
      <c r="M47" s="286">
        <f t="shared" si="13"/>
        <v>0</v>
      </c>
      <c r="N47" s="286">
        <f t="shared" si="13"/>
        <v>0</v>
      </c>
      <c r="O47" s="286">
        <f t="shared" si="13"/>
        <v>0</v>
      </c>
      <c r="P47" s="287">
        <f t="shared" si="13"/>
        <v>0</v>
      </c>
      <c r="R47" s="641">
        <f>'County One Time Input-GROWTH'!F47</f>
        <v>0.0293153588</v>
      </c>
      <c r="S47" s="287">
        <f>S$19*R47</f>
        <v>0</v>
      </c>
    </row>
    <row r="48" spans="1:19" ht="15.75" hidden="1" outlineLevel="1">
      <c r="A48" s="288"/>
      <c r="B48" s="289" t="s">
        <v>72</v>
      </c>
      <c r="C48" s="290"/>
      <c r="D48" s="291" t="e">
        <f t="shared" si="7"/>
        <v>#VALUE!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3"/>
      <c r="R48" s="638"/>
      <c r="S48" s="293" t="e">
        <f t="shared" si="9"/>
        <v>#VALUE!</v>
      </c>
    </row>
    <row r="49" spans="1:19" ht="15" hidden="1" outlineLevel="1">
      <c r="A49" s="303" t="s">
        <v>29</v>
      </c>
      <c r="B49" s="295">
        <v>0.6750743897</v>
      </c>
      <c r="C49" s="290">
        <f>$C$47*B49</f>
        <v>344880.4514456047</v>
      </c>
      <c r="D49" s="291">
        <f t="shared" si="7"/>
        <v>54025.73007571862</v>
      </c>
      <c r="E49" s="292">
        <f aca="true" t="shared" si="14" ref="E49:P51">E$47*$B49</f>
        <v>27617.096401840256</v>
      </c>
      <c r="F49" s="292">
        <f t="shared" si="14"/>
        <v>26408.633673878365</v>
      </c>
      <c r="G49" s="292">
        <f t="shared" si="14"/>
        <v>0</v>
      </c>
      <c r="H49" s="292">
        <f>ROUND(H$47*$B49,2)</f>
        <v>0</v>
      </c>
      <c r="I49" s="292">
        <f t="shared" si="14"/>
        <v>0</v>
      </c>
      <c r="J49" s="292">
        <f t="shared" si="14"/>
        <v>0</v>
      </c>
      <c r="K49" s="292">
        <f t="shared" si="14"/>
        <v>0</v>
      </c>
      <c r="L49" s="292">
        <f t="shared" si="14"/>
        <v>0</v>
      </c>
      <c r="M49" s="292">
        <f t="shared" si="14"/>
        <v>0</v>
      </c>
      <c r="N49" s="292">
        <f t="shared" si="14"/>
        <v>0</v>
      </c>
      <c r="O49" s="292">
        <f t="shared" si="14"/>
        <v>0</v>
      </c>
      <c r="P49" s="293">
        <f t="shared" si="14"/>
        <v>0</v>
      </c>
      <c r="R49" s="639"/>
      <c r="S49" s="293">
        <f t="shared" si="9"/>
        <v>0</v>
      </c>
    </row>
    <row r="50" spans="1:19" ht="15" hidden="1" outlineLevel="1">
      <c r="A50" s="303" t="s">
        <v>61</v>
      </c>
      <c r="B50" s="295">
        <v>0.3152138903</v>
      </c>
      <c r="C50" s="290">
        <f>$C$47*B50</f>
        <v>161035.7472409819</v>
      </c>
      <c r="D50" s="291">
        <f t="shared" si="7"/>
        <v>25226.346626825652</v>
      </c>
      <c r="E50" s="292">
        <f t="shared" si="14"/>
        <v>12895.308322217337</v>
      </c>
      <c r="F50" s="292">
        <f t="shared" si="14"/>
        <v>12331.038304608315</v>
      </c>
      <c r="G50" s="292">
        <f t="shared" si="14"/>
        <v>0</v>
      </c>
      <c r="H50" s="292">
        <f>ROUND(H$47*$B50,2)</f>
        <v>0</v>
      </c>
      <c r="I50" s="292">
        <f t="shared" si="14"/>
        <v>0</v>
      </c>
      <c r="J50" s="292">
        <f t="shared" si="14"/>
        <v>0</v>
      </c>
      <c r="K50" s="292">
        <f t="shared" si="14"/>
        <v>0</v>
      </c>
      <c r="L50" s="292">
        <f t="shared" si="14"/>
        <v>0</v>
      </c>
      <c r="M50" s="292">
        <f t="shared" si="14"/>
        <v>0</v>
      </c>
      <c r="N50" s="292">
        <f t="shared" si="14"/>
        <v>0</v>
      </c>
      <c r="O50" s="292">
        <f t="shared" si="14"/>
        <v>0</v>
      </c>
      <c r="P50" s="293">
        <f t="shared" si="14"/>
        <v>0</v>
      </c>
      <c r="R50" s="639"/>
      <c r="S50" s="293">
        <f t="shared" si="9"/>
        <v>0</v>
      </c>
    </row>
    <row r="51" spans="1:19" ht="15" hidden="1" outlineLevel="1">
      <c r="A51" s="304" t="s">
        <v>62</v>
      </c>
      <c r="B51" s="295">
        <v>0.00971172</v>
      </c>
      <c r="C51" s="290">
        <f>$C$47*B51</f>
        <v>4961.501175302707</v>
      </c>
      <c r="D51" s="291">
        <f t="shared" si="7"/>
        <v>777.2221421762492</v>
      </c>
      <c r="E51" s="292">
        <f t="shared" si="14"/>
        <v>397.3036328438872</v>
      </c>
      <c r="F51" s="292">
        <f t="shared" si="14"/>
        <v>379.91850933236196</v>
      </c>
      <c r="G51" s="292">
        <f t="shared" si="14"/>
        <v>0</v>
      </c>
      <c r="H51" s="292">
        <f>+H47-H49-H50</f>
        <v>0</v>
      </c>
      <c r="I51" s="292">
        <f aca="true" t="shared" si="15" ref="I51:O51">+I47-I49-I50</f>
        <v>0</v>
      </c>
      <c r="J51" s="292">
        <f t="shared" si="15"/>
        <v>0</v>
      </c>
      <c r="K51" s="292">
        <f t="shared" si="15"/>
        <v>0</v>
      </c>
      <c r="L51" s="292">
        <f t="shared" si="15"/>
        <v>0</v>
      </c>
      <c r="M51" s="292">
        <f t="shared" si="15"/>
        <v>0</v>
      </c>
      <c r="N51" s="292">
        <f t="shared" si="15"/>
        <v>0</v>
      </c>
      <c r="O51" s="292">
        <f t="shared" si="15"/>
        <v>0</v>
      </c>
      <c r="P51" s="293">
        <f t="shared" si="14"/>
        <v>0</v>
      </c>
      <c r="R51" s="639"/>
      <c r="S51" s="293">
        <f t="shared" si="9"/>
        <v>0</v>
      </c>
    </row>
    <row r="52" spans="1:19" ht="15" hidden="1" outlineLevel="1">
      <c r="A52" s="297" t="s">
        <v>81</v>
      </c>
      <c r="B52" s="295">
        <f aca="true" t="shared" si="16" ref="B52:P52">SUBTOTAL(9,B49:B51)</f>
        <v>1</v>
      </c>
      <c r="C52" s="290">
        <f t="shared" si="16"/>
        <v>510877.6998618893</v>
      </c>
      <c r="D52" s="290">
        <f t="shared" si="7"/>
        <v>80029.29884472053</v>
      </c>
      <c r="E52" s="291">
        <f t="shared" si="16"/>
        <v>40909.70835690148</v>
      </c>
      <c r="F52" s="291">
        <f t="shared" si="16"/>
        <v>39119.59048781904</v>
      </c>
      <c r="G52" s="291">
        <f t="shared" si="16"/>
        <v>0</v>
      </c>
      <c r="H52" s="291">
        <f t="shared" si="16"/>
        <v>0</v>
      </c>
      <c r="I52" s="291">
        <f t="shared" si="16"/>
        <v>0</v>
      </c>
      <c r="J52" s="291">
        <f t="shared" si="16"/>
        <v>0</v>
      </c>
      <c r="K52" s="291">
        <f t="shared" si="16"/>
        <v>0</v>
      </c>
      <c r="L52" s="291">
        <f t="shared" si="16"/>
        <v>0</v>
      </c>
      <c r="M52" s="291">
        <f t="shared" si="16"/>
        <v>0</v>
      </c>
      <c r="N52" s="291">
        <f t="shared" si="16"/>
        <v>0</v>
      </c>
      <c r="O52" s="291">
        <f t="shared" si="16"/>
        <v>0</v>
      </c>
      <c r="P52" s="305">
        <f t="shared" si="16"/>
        <v>0</v>
      </c>
      <c r="R52" s="639"/>
      <c r="S52" s="305">
        <f t="shared" si="9"/>
        <v>0</v>
      </c>
    </row>
    <row r="53" spans="1:19" ht="15.75" collapsed="1" thickBot="1">
      <c r="A53" s="214" t="s">
        <v>31</v>
      </c>
      <c r="B53" s="306">
        <f>'County One Time Input-BASE'!F51</f>
        <v>0</v>
      </c>
      <c r="C53" s="307">
        <f>B53*C$14</f>
        <v>0</v>
      </c>
      <c r="D53" s="285">
        <f t="shared" si="7"/>
        <v>0</v>
      </c>
      <c r="E53" s="309">
        <f aca="true" t="shared" si="17" ref="E53:P53">E$14*$B53</f>
        <v>0</v>
      </c>
      <c r="F53" s="309">
        <f t="shared" si="17"/>
        <v>0</v>
      </c>
      <c r="G53" s="309">
        <f t="shared" si="17"/>
        <v>0</v>
      </c>
      <c r="H53" s="309">
        <f t="shared" si="17"/>
        <v>0</v>
      </c>
      <c r="I53" s="309">
        <f t="shared" si="17"/>
        <v>0</v>
      </c>
      <c r="J53" s="309">
        <f t="shared" si="17"/>
        <v>0</v>
      </c>
      <c r="K53" s="309">
        <f t="shared" si="17"/>
        <v>0</v>
      </c>
      <c r="L53" s="309">
        <f t="shared" si="17"/>
        <v>0</v>
      </c>
      <c r="M53" s="309">
        <f t="shared" si="17"/>
        <v>0</v>
      </c>
      <c r="N53" s="309">
        <f t="shared" si="17"/>
        <v>0</v>
      </c>
      <c r="O53" s="309">
        <f t="shared" si="17"/>
        <v>0</v>
      </c>
      <c r="P53" s="310">
        <f t="shared" si="17"/>
        <v>0</v>
      </c>
      <c r="R53" s="642">
        <f>'County One Time Input-GROWTH'!F48</f>
        <v>0</v>
      </c>
      <c r="S53" s="310">
        <f>S$19*R53</f>
        <v>0</v>
      </c>
    </row>
    <row r="54" spans="1:19" ht="15.75" thickBot="1">
      <c r="A54" s="56" t="s">
        <v>95</v>
      </c>
      <c r="B54" s="57">
        <f aca="true" t="shared" si="18" ref="B54:P54">+B25+B26+B27+B28+B29+B30+B46+B47+B53</f>
        <v>1</v>
      </c>
      <c r="C54" s="66">
        <f t="shared" si="18"/>
        <v>17676481.748337626</v>
      </c>
      <c r="D54" s="66">
        <f t="shared" si="18"/>
        <v>2769031.4937281334</v>
      </c>
      <c r="E54" s="147">
        <f t="shared" si="18"/>
        <v>1415484.9845590796</v>
      </c>
      <c r="F54" s="147">
        <f t="shared" si="18"/>
        <v>1353546.5091690533</v>
      </c>
      <c r="G54" s="147">
        <f t="shared" si="18"/>
        <v>0</v>
      </c>
      <c r="H54" s="147">
        <f t="shared" si="18"/>
        <v>0</v>
      </c>
      <c r="I54" s="147">
        <f t="shared" si="18"/>
        <v>0</v>
      </c>
      <c r="J54" s="147">
        <f t="shared" si="18"/>
        <v>0</v>
      </c>
      <c r="K54" s="147">
        <f t="shared" si="18"/>
        <v>0</v>
      </c>
      <c r="L54" s="147">
        <f t="shared" si="18"/>
        <v>0</v>
      </c>
      <c r="M54" s="147">
        <f t="shared" si="18"/>
        <v>0</v>
      </c>
      <c r="N54" s="147">
        <f t="shared" si="18"/>
        <v>0</v>
      </c>
      <c r="O54" s="147">
        <f t="shared" si="18"/>
        <v>0</v>
      </c>
      <c r="P54" s="148">
        <f t="shared" si="18"/>
        <v>0</v>
      </c>
      <c r="R54" s="635">
        <f>R25+R26+R27+R28+R29+R30+R46+R47+R53</f>
        <v>1</v>
      </c>
      <c r="S54" s="148">
        <f>+S25+S26+S27+S28+S29+S30+S46+S47+S53</f>
        <v>0</v>
      </c>
    </row>
    <row r="57" spans="1:4" ht="15">
      <c r="A57" t="s">
        <v>43</v>
      </c>
      <c r="C57" s="40">
        <f>C15</f>
        <v>8422398.57454826</v>
      </c>
      <c r="D57" s="40"/>
    </row>
    <row r="58" ht="15.75" thickBot="1"/>
    <row r="59" spans="1:19" ht="60.75" thickBot="1">
      <c r="A59" s="343" t="s">
        <v>37</v>
      </c>
      <c r="B59" s="342" t="str">
        <f>CONCATENATE('County One Time Input-BASE'!C2," County % Distribution (PROG/TOT BH)")</f>
        <v>San Mateo County % Distribution (PROG/TOT BH)</v>
      </c>
      <c r="C59" s="342" t="str">
        <f>CONCATENATE('County One Time Input-BASE'!C2," County Portion (Distribution to Programs)")</f>
        <v>San Mateo County Portion (Distribution to Programs)</v>
      </c>
      <c r="D59" s="58" t="str">
        <f>D3</f>
        <v>RECEIPTS THROUGH OCTOBER</v>
      </c>
      <c r="E59" s="27" t="s">
        <v>7</v>
      </c>
      <c r="F59" s="27" t="s">
        <v>8</v>
      </c>
      <c r="G59" s="27" t="s">
        <v>9</v>
      </c>
      <c r="H59" s="27" t="s">
        <v>10</v>
      </c>
      <c r="I59" s="27" t="s">
        <v>11</v>
      </c>
      <c r="J59" s="27" t="s">
        <v>12</v>
      </c>
      <c r="K59" s="27" t="s">
        <v>13</v>
      </c>
      <c r="L59" s="27" t="s">
        <v>14</v>
      </c>
      <c r="M59" s="27" t="s">
        <v>15</v>
      </c>
      <c r="N59" s="27" t="s">
        <v>16</v>
      </c>
      <c r="O59" s="27" t="s">
        <v>17</v>
      </c>
      <c r="P59" s="28" t="s">
        <v>18</v>
      </c>
      <c r="R59" s="450" t="s">
        <v>181</v>
      </c>
      <c r="S59" s="643" t="s">
        <v>178</v>
      </c>
    </row>
    <row r="60" spans="1:19" ht="4.5" customHeight="1" thickBot="1">
      <c r="A60" s="41"/>
      <c r="B60" s="42"/>
      <c r="C60" s="4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4"/>
      <c r="R60" s="634"/>
      <c r="S60" s="44"/>
    </row>
    <row r="61" spans="1:19" ht="15">
      <c r="A61" s="311" t="s">
        <v>44</v>
      </c>
      <c r="B61" s="312">
        <f>'County One Time Input-BASE'!F60</f>
        <v>0.2029597891992356</v>
      </c>
      <c r="C61" s="313">
        <f>C$57*B61</f>
        <v>1709408.239242257</v>
      </c>
      <c r="D61" s="280">
        <f>SUM(E61:P61)+S61</f>
        <v>267696.42</v>
      </c>
      <c r="E61" s="281">
        <f>ROUND(E$15*$B61,2)</f>
        <v>136857.69</v>
      </c>
      <c r="F61" s="281">
        <f aca="true" t="shared" si="19" ref="F61:P61">ROUND(F$15*$B61,2)</f>
        <v>130838.73</v>
      </c>
      <c r="G61" s="281">
        <f t="shared" si="19"/>
        <v>0</v>
      </c>
      <c r="H61" s="281">
        <f t="shared" si="19"/>
        <v>0</v>
      </c>
      <c r="I61" s="281">
        <f t="shared" si="19"/>
        <v>0</v>
      </c>
      <c r="J61" s="281">
        <f t="shared" si="19"/>
        <v>0</v>
      </c>
      <c r="K61" s="281">
        <f t="shared" si="19"/>
        <v>0</v>
      </c>
      <c r="L61" s="281">
        <f t="shared" si="19"/>
        <v>0</v>
      </c>
      <c r="M61" s="281">
        <f t="shared" si="19"/>
        <v>0</v>
      </c>
      <c r="N61" s="281">
        <f t="shared" si="19"/>
        <v>0</v>
      </c>
      <c r="O61" s="281">
        <f t="shared" si="19"/>
        <v>0</v>
      </c>
      <c r="P61" s="282">
        <f t="shared" si="19"/>
        <v>0</v>
      </c>
      <c r="R61" s="648">
        <f>'County One Time Input-GROWTH'!F57</f>
        <v>0.2029597891992356</v>
      </c>
      <c r="S61" s="644">
        <f>ROUND(S$15*$R61,2)</f>
        <v>0</v>
      </c>
    </row>
    <row r="62" spans="1:19" ht="15.75" hidden="1" outlineLevel="1">
      <c r="A62" s="288"/>
      <c r="B62" s="289" t="s">
        <v>71</v>
      </c>
      <c r="C62" s="290"/>
      <c r="D62" s="291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3"/>
      <c r="R62" s="638"/>
      <c r="S62" s="645"/>
    </row>
    <row r="63" spans="1:19" ht="15" hidden="1" outlineLevel="1">
      <c r="A63" s="303" t="s">
        <v>63</v>
      </c>
      <c r="B63" s="295">
        <v>0.7344973076556713</v>
      </c>
      <c r="C63" s="290">
        <f>C$61*B63</f>
        <v>1255555.7494078595</v>
      </c>
      <c r="D63" s="291">
        <f>SUM(E63:P63)+S63</f>
        <v>196622.2997590618</v>
      </c>
      <c r="E63" s="292">
        <f aca="true" t="shared" si="20" ref="E63:P65">E$61*$B63</f>
        <v>100521.6048369745</v>
      </c>
      <c r="F63" s="292">
        <f t="shared" si="20"/>
        <v>96100.6949220873</v>
      </c>
      <c r="G63" s="292">
        <f t="shared" si="20"/>
        <v>0</v>
      </c>
      <c r="H63" s="292">
        <f t="shared" si="20"/>
        <v>0</v>
      </c>
      <c r="I63" s="292">
        <f t="shared" si="20"/>
        <v>0</v>
      </c>
      <c r="J63" s="292">
        <f t="shared" si="20"/>
        <v>0</v>
      </c>
      <c r="K63" s="292">
        <f t="shared" si="20"/>
        <v>0</v>
      </c>
      <c r="L63" s="292">
        <f t="shared" si="20"/>
        <v>0</v>
      </c>
      <c r="M63" s="292">
        <f t="shared" si="20"/>
        <v>0</v>
      </c>
      <c r="N63" s="292">
        <f t="shared" si="20"/>
        <v>0</v>
      </c>
      <c r="O63" s="292">
        <f t="shared" si="20"/>
        <v>0</v>
      </c>
      <c r="P63" s="293">
        <f t="shared" si="20"/>
        <v>0</v>
      </c>
      <c r="R63" s="639"/>
      <c r="S63" s="645">
        <f>S$61*$B63</f>
        <v>0</v>
      </c>
    </row>
    <row r="64" spans="1:19" ht="15" hidden="1" outlineLevel="1">
      <c r="A64" s="303" t="s">
        <v>64</v>
      </c>
      <c r="B64" s="295">
        <v>0.11505079313494221</v>
      </c>
      <c r="C64" s="290">
        <f>$C$61*B64</f>
        <v>196668.77371622671</v>
      </c>
      <c r="D64" s="291">
        <f>SUM(E64:P64)+S64</f>
        <v>30798.68544038461</v>
      </c>
      <c r="E64" s="292">
        <f t="shared" si="20"/>
        <v>15745.58578111605</v>
      </c>
      <c r="F64" s="292">
        <f t="shared" si="20"/>
        <v>15053.099659268557</v>
      </c>
      <c r="G64" s="292">
        <f t="shared" si="20"/>
        <v>0</v>
      </c>
      <c r="H64" s="292">
        <f t="shared" si="20"/>
        <v>0</v>
      </c>
      <c r="I64" s="292">
        <f t="shared" si="20"/>
        <v>0</v>
      </c>
      <c r="J64" s="292">
        <f t="shared" si="20"/>
        <v>0</v>
      </c>
      <c r="K64" s="292">
        <f t="shared" si="20"/>
        <v>0</v>
      </c>
      <c r="L64" s="292">
        <f t="shared" si="20"/>
        <v>0</v>
      </c>
      <c r="M64" s="292">
        <f t="shared" si="20"/>
        <v>0</v>
      </c>
      <c r="N64" s="292">
        <f t="shared" si="20"/>
        <v>0</v>
      </c>
      <c r="O64" s="292">
        <f t="shared" si="20"/>
        <v>0</v>
      </c>
      <c r="P64" s="293">
        <f t="shared" si="20"/>
        <v>0</v>
      </c>
      <c r="R64" s="639"/>
      <c r="S64" s="645">
        <f>S$61*$B64</f>
        <v>0</v>
      </c>
    </row>
    <row r="65" spans="1:19" ht="15" hidden="1" outlineLevel="1">
      <c r="A65" s="304" t="s">
        <v>65</v>
      </c>
      <c r="B65" s="295">
        <v>0.1504518992093865</v>
      </c>
      <c r="C65" s="290">
        <f>$C$61*B65</f>
        <v>257183.7161181709</v>
      </c>
      <c r="D65" s="291">
        <f>SUM(E65:P65)+S65</f>
        <v>40275.4348005536</v>
      </c>
      <c r="E65" s="292">
        <f t="shared" si="20"/>
        <v>20590.499381909463</v>
      </c>
      <c r="F65" s="292">
        <f t="shared" si="20"/>
        <v>19684.935418644134</v>
      </c>
      <c r="G65" s="292">
        <f t="shared" si="20"/>
        <v>0</v>
      </c>
      <c r="H65" s="292">
        <f t="shared" si="20"/>
        <v>0</v>
      </c>
      <c r="I65" s="292">
        <f t="shared" si="20"/>
        <v>0</v>
      </c>
      <c r="J65" s="292">
        <f t="shared" si="20"/>
        <v>0</v>
      </c>
      <c r="K65" s="292">
        <f t="shared" si="20"/>
        <v>0</v>
      </c>
      <c r="L65" s="292">
        <f t="shared" si="20"/>
        <v>0</v>
      </c>
      <c r="M65" s="292">
        <f t="shared" si="20"/>
        <v>0</v>
      </c>
      <c r="N65" s="292">
        <f t="shared" si="20"/>
        <v>0</v>
      </c>
      <c r="O65" s="292">
        <f t="shared" si="20"/>
        <v>0</v>
      </c>
      <c r="P65" s="293">
        <f t="shared" si="20"/>
        <v>0</v>
      </c>
      <c r="R65" s="639"/>
      <c r="S65" s="645">
        <f>S$61*$B65</f>
        <v>0</v>
      </c>
    </row>
    <row r="66" spans="1:19" ht="15" hidden="1" outlineLevel="1">
      <c r="A66" s="297" t="s">
        <v>77</v>
      </c>
      <c r="B66" s="295">
        <f aca="true" t="shared" si="21" ref="B66:P66">SUBTOTAL(9,B63:B65)</f>
        <v>1</v>
      </c>
      <c r="C66" s="290">
        <f t="shared" si="21"/>
        <v>1709408.239242257</v>
      </c>
      <c r="D66" s="291">
        <f>SUM(E66:P66)+S66</f>
        <v>267696.42</v>
      </c>
      <c r="E66" s="290">
        <f t="shared" si="21"/>
        <v>136857.69</v>
      </c>
      <c r="F66" s="290">
        <f t="shared" si="21"/>
        <v>130838.73</v>
      </c>
      <c r="G66" s="290">
        <f t="shared" si="21"/>
        <v>0</v>
      </c>
      <c r="H66" s="290">
        <f t="shared" si="21"/>
        <v>0</v>
      </c>
      <c r="I66" s="290">
        <f t="shared" si="21"/>
        <v>0</v>
      </c>
      <c r="J66" s="290">
        <f t="shared" si="21"/>
        <v>0</v>
      </c>
      <c r="K66" s="290">
        <f t="shared" si="21"/>
        <v>0</v>
      </c>
      <c r="L66" s="290">
        <f t="shared" si="21"/>
        <v>0</v>
      </c>
      <c r="M66" s="290">
        <f t="shared" si="21"/>
        <v>0</v>
      </c>
      <c r="N66" s="290">
        <f t="shared" si="21"/>
        <v>0</v>
      </c>
      <c r="O66" s="290">
        <f t="shared" si="21"/>
        <v>0</v>
      </c>
      <c r="P66" s="314">
        <f t="shared" si="21"/>
        <v>0</v>
      </c>
      <c r="R66" s="639"/>
      <c r="S66" s="646">
        <f>SUBTOTAL(9,S63:S65)</f>
        <v>0</v>
      </c>
    </row>
    <row r="67" spans="1:19" ht="15.75" collapsed="1" thickBot="1">
      <c r="A67" s="315" t="s">
        <v>45</v>
      </c>
      <c r="B67" s="316">
        <f>'County One Time Input-BASE'!F61</f>
        <v>0.7970402108007644</v>
      </c>
      <c r="C67" s="317">
        <f>C$57*B67</f>
        <v>6712990.335306002</v>
      </c>
      <c r="D67" s="308">
        <f>SUM(E67:P67)+S67</f>
        <v>1051266.4100000001</v>
      </c>
      <c r="E67" s="309">
        <f>ROUND(E$15*$B67,2)</f>
        <v>537451.68</v>
      </c>
      <c r="F67" s="309">
        <f aca="true" t="shared" si="22" ref="F67:P67">ROUND(F$15*$B67,2)</f>
        <v>513814.73</v>
      </c>
      <c r="G67" s="309">
        <f t="shared" si="22"/>
        <v>0</v>
      </c>
      <c r="H67" s="309">
        <f t="shared" si="22"/>
        <v>0</v>
      </c>
      <c r="I67" s="309">
        <f t="shared" si="22"/>
        <v>0</v>
      </c>
      <c r="J67" s="309">
        <f t="shared" si="22"/>
        <v>0</v>
      </c>
      <c r="K67" s="309">
        <f t="shared" si="22"/>
        <v>0</v>
      </c>
      <c r="L67" s="309">
        <f t="shared" si="22"/>
        <v>0</v>
      </c>
      <c r="M67" s="309">
        <f t="shared" si="22"/>
        <v>0</v>
      </c>
      <c r="N67" s="309">
        <f t="shared" si="22"/>
        <v>0</v>
      </c>
      <c r="O67" s="309">
        <f t="shared" si="22"/>
        <v>0</v>
      </c>
      <c r="P67" s="310">
        <f t="shared" si="22"/>
        <v>0</v>
      </c>
      <c r="R67" s="649">
        <f>'County One Time Input-GROWTH'!F58</f>
        <v>0.7970402108007644</v>
      </c>
      <c r="S67" s="647">
        <f>ROUND(S$15*$R67,2)</f>
        <v>0</v>
      </c>
    </row>
    <row r="68" spans="1:18" ht="16.5" hidden="1" outlineLevel="1" thickBot="1">
      <c r="A68" s="69"/>
      <c r="B68" s="70" t="s">
        <v>74</v>
      </c>
      <c r="C68" s="71"/>
      <c r="D68" s="72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R68" s="650"/>
    </row>
    <row r="69" spans="1:18" ht="15.75" hidden="1" outlineLevel="1" thickBot="1">
      <c r="A69" s="80" t="s">
        <v>66</v>
      </c>
      <c r="B69" s="75">
        <v>0.7481581936531475</v>
      </c>
      <c r="C69" s="76">
        <f>$C$67*B69</f>
        <v>5022378.723273575</v>
      </c>
      <c r="D69" s="77">
        <f>SUM(E69:P69)+S69</f>
        <v>786513.5783538292</v>
      </c>
      <c r="E69" s="78">
        <f aca="true" t="shared" si="23" ref="E69:P69">E$67*$B69</f>
        <v>402098.8780846495</v>
      </c>
      <c r="F69" s="78">
        <f t="shared" si="23"/>
        <v>384414.7002691797</v>
      </c>
      <c r="G69" s="78">
        <f t="shared" si="23"/>
        <v>0</v>
      </c>
      <c r="H69" s="78">
        <f t="shared" si="23"/>
        <v>0</v>
      </c>
      <c r="I69" s="78">
        <f t="shared" si="23"/>
        <v>0</v>
      </c>
      <c r="J69" s="78">
        <f t="shared" si="23"/>
        <v>0</v>
      </c>
      <c r="K69" s="78">
        <f t="shared" si="23"/>
        <v>0</v>
      </c>
      <c r="L69" s="78">
        <f t="shared" si="23"/>
        <v>0</v>
      </c>
      <c r="M69" s="78">
        <f t="shared" si="23"/>
        <v>0</v>
      </c>
      <c r="N69" s="78">
        <f t="shared" si="23"/>
        <v>0</v>
      </c>
      <c r="O69" s="78">
        <f t="shared" si="23"/>
        <v>0</v>
      </c>
      <c r="P69" s="79">
        <f t="shared" si="23"/>
        <v>0</v>
      </c>
      <c r="R69" s="651"/>
    </row>
    <row r="70" spans="1:18" s="136" customFormat="1" ht="15.75" hidden="1" outlineLevel="2" thickBot="1">
      <c r="A70" s="92"/>
      <c r="B70" s="90" t="s">
        <v>75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3"/>
      <c r="R70" s="652"/>
    </row>
    <row r="71" spans="1:18" s="136" customFormat="1" ht="15.75" hidden="1" outlineLevel="2" thickBot="1">
      <c r="A71" s="94" t="s">
        <v>68</v>
      </c>
      <c r="B71" s="88">
        <v>0.029538024408195404</v>
      </c>
      <c r="C71" s="89">
        <f>C$69*$B71</f>
        <v>148351.14531525614</v>
      </c>
      <c r="D71" s="87">
        <f>SUM(E71:P71)+S71</f>
        <v>23232.057274792514</v>
      </c>
      <c r="E71" s="89">
        <f aca="true" t="shared" si="24" ref="E71:P73">E$69*$B71</f>
        <v>11877.206475372364</v>
      </c>
      <c r="F71" s="89">
        <f t="shared" si="24"/>
        <v>11354.85079942015</v>
      </c>
      <c r="G71" s="89">
        <f t="shared" si="24"/>
        <v>0</v>
      </c>
      <c r="H71" s="89">
        <f t="shared" si="24"/>
        <v>0</v>
      </c>
      <c r="I71" s="89">
        <f t="shared" si="24"/>
        <v>0</v>
      </c>
      <c r="J71" s="89">
        <f t="shared" si="24"/>
        <v>0</v>
      </c>
      <c r="K71" s="89">
        <f t="shared" si="24"/>
        <v>0</v>
      </c>
      <c r="L71" s="89">
        <f t="shared" si="24"/>
        <v>0</v>
      </c>
      <c r="M71" s="89">
        <f t="shared" si="24"/>
        <v>0</v>
      </c>
      <c r="N71" s="89">
        <f t="shared" si="24"/>
        <v>0</v>
      </c>
      <c r="O71" s="89">
        <f t="shared" si="24"/>
        <v>0</v>
      </c>
      <c r="P71" s="95">
        <f t="shared" si="24"/>
        <v>0</v>
      </c>
      <c r="R71" s="653"/>
    </row>
    <row r="72" spans="1:18" s="136" customFormat="1" ht="15.75" hidden="1" outlineLevel="2" thickBot="1">
      <c r="A72" s="94" t="s">
        <v>69</v>
      </c>
      <c r="B72" s="88">
        <v>0.04578847371754275</v>
      </c>
      <c r="C72" s="89">
        <f>C$69*$B72</f>
        <v>229967.05617015803</v>
      </c>
      <c r="D72" s="87">
        <f>SUM(E72:P72)+S72</f>
        <v>36013.25631094481</v>
      </c>
      <c r="E72" s="89">
        <f t="shared" si="24"/>
        <v>18411.4939110324</v>
      </c>
      <c r="F72" s="89">
        <f t="shared" si="24"/>
        <v>17601.762399912408</v>
      </c>
      <c r="G72" s="89">
        <f t="shared" si="24"/>
        <v>0</v>
      </c>
      <c r="H72" s="89">
        <f t="shared" si="24"/>
        <v>0</v>
      </c>
      <c r="I72" s="89">
        <f t="shared" si="24"/>
        <v>0</v>
      </c>
      <c r="J72" s="89">
        <f t="shared" si="24"/>
        <v>0</v>
      </c>
      <c r="K72" s="89">
        <f t="shared" si="24"/>
        <v>0</v>
      </c>
      <c r="L72" s="89">
        <f t="shared" si="24"/>
        <v>0</v>
      </c>
      <c r="M72" s="89">
        <f t="shared" si="24"/>
        <v>0</v>
      </c>
      <c r="N72" s="89">
        <f t="shared" si="24"/>
        <v>0</v>
      </c>
      <c r="O72" s="89">
        <f t="shared" si="24"/>
        <v>0</v>
      </c>
      <c r="P72" s="95">
        <f t="shared" si="24"/>
        <v>0</v>
      </c>
      <c r="R72" s="653"/>
    </row>
    <row r="73" spans="1:18" s="136" customFormat="1" ht="15.75" hidden="1" outlineLevel="2" thickBot="1">
      <c r="A73" s="98" t="s">
        <v>70</v>
      </c>
      <c r="B73" s="99">
        <v>0.9246735018742619</v>
      </c>
      <c r="C73" s="100">
        <f>C$69*$B73</f>
        <v>4644060.521788161</v>
      </c>
      <c r="D73" s="87">
        <f>SUM(E73:P73)+S73</f>
        <v>727268.264768092</v>
      </c>
      <c r="E73" s="100">
        <f t="shared" si="24"/>
        <v>371810.17769824475</v>
      </c>
      <c r="F73" s="100">
        <f t="shared" si="24"/>
        <v>355458.08706984716</v>
      </c>
      <c r="G73" s="100">
        <f t="shared" si="24"/>
        <v>0</v>
      </c>
      <c r="H73" s="100">
        <f t="shared" si="24"/>
        <v>0</v>
      </c>
      <c r="I73" s="100">
        <f t="shared" si="24"/>
        <v>0</v>
      </c>
      <c r="J73" s="100">
        <f t="shared" si="24"/>
        <v>0</v>
      </c>
      <c r="K73" s="100">
        <f t="shared" si="24"/>
        <v>0</v>
      </c>
      <c r="L73" s="100">
        <f t="shared" si="24"/>
        <v>0</v>
      </c>
      <c r="M73" s="100">
        <f t="shared" si="24"/>
        <v>0</v>
      </c>
      <c r="N73" s="100">
        <f t="shared" si="24"/>
        <v>0</v>
      </c>
      <c r="O73" s="100">
        <f t="shared" si="24"/>
        <v>0</v>
      </c>
      <c r="P73" s="101">
        <f t="shared" si="24"/>
        <v>0</v>
      </c>
      <c r="R73" s="654"/>
    </row>
    <row r="74" spans="1:18" s="136" customFormat="1" ht="15.75" hidden="1" outlineLevel="2" thickBot="1">
      <c r="A74" s="96" t="s">
        <v>76</v>
      </c>
      <c r="B74" s="97">
        <f aca="true" t="shared" si="25" ref="B74:P74">SUM(B71:B73)</f>
        <v>1</v>
      </c>
      <c r="C74" s="102">
        <f t="shared" si="25"/>
        <v>5022378.723273575</v>
      </c>
      <c r="D74" s="102">
        <f t="shared" si="25"/>
        <v>786513.5783538293</v>
      </c>
      <c r="E74" s="102">
        <f t="shared" si="25"/>
        <v>402098.8780846495</v>
      </c>
      <c r="F74" s="102">
        <f t="shared" si="25"/>
        <v>384414.7002691797</v>
      </c>
      <c r="G74" s="102">
        <f t="shared" si="25"/>
        <v>0</v>
      </c>
      <c r="H74" s="102">
        <f t="shared" si="25"/>
        <v>0</v>
      </c>
      <c r="I74" s="102">
        <f t="shared" si="25"/>
        <v>0</v>
      </c>
      <c r="J74" s="102">
        <f t="shared" si="25"/>
        <v>0</v>
      </c>
      <c r="K74" s="102">
        <f t="shared" si="25"/>
        <v>0</v>
      </c>
      <c r="L74" s="102">
        <f t="shared" si="25"/>
        <v>0</v>
      </c>
      <c r="M74" s="102">
        <f t="shared" si="25"/>
        <v>0</v>
      </c>
      <c r="N74" s="102">
        <f t="shared" si="25"/>
        <v>0</v>
      </c>
      <c r="O74" s="102">
        <f t="shared" si="25"/>
        <v>0</v>
      </c>
      <c r="P74" s="103">
        <f t="shared" si="25"/>
        <v>0</v>
      </c>
      <c r="R74" s="655"/>
    </row>
    <row r="75" spans="1:18" ht="15.75" hidden="1" outlineLevel="1" collapsed="1" thickBot="1">
      <c r="A75" s="85" t="s">
        <v>67</v>
      </c>
      <c r="B75" s="75">
        <v>0.2518418063468525</v>
      </c>
      <c r="C75" s="76">
        <f>$C$67*B75</f>
        <v>1690611.6120324265</v>
      </c>
      <c r="D75" s="77">
        <f>SUM(E75:P75)+S75</f>
        <v>264752.8316461708</v>
      </c>
      <c r="E75" s="78">
        <f aca="true" t="shared" si="26" ref="E75:P75">E$67*$B75</f>
        <v>135352.80191535054</v>
      </c>
      <c r="F75" s="78">
        <f t="shared" si="26"/>
        <v>129400.0297308203</v>
      </c>
      <c r="G75" s="78">
        <f t="shared" si="26"/>
        <v>0</v>
      </c>
      <c r="H75" s="78">
        <f t="shared" si="26"/>
        <v>0</v>
      </c>
      <c r="I75" s="78">
        <f t="shared" si="26"/>
        <v>0</v>
      </c>
      <c r="J75" s="78">
        <f t="shared" si="26"/>
        <v>0</v>
      </c>
      <c r="K75" s="78">
        <f t="shared" si="26"/>
        <v>0</v>
      </c>
      <c r="L75" s="78">
        <f t="shared" si="26"/>
        <v>0</v>
      </c>
      <c r="M75" s="78">
        <f t="shared" si="26"/>
        <v>0</v>
      </c>
      <c r="N75" s="78">
        <f t="shared" si="26"/>
        <v>0</v>
      </c>
      <c r="O75" s="78">
        <f t="shared" si="26"/>
        <v>0</v>
      </c>
      <c r="P75" s="79">
        <f t="shared" si="26"/>
        <v>0</v>
      </c>
      <c r="R75" s="651"/>
    </row>
    <row r="76" spans="1:18" ht="15.75" hidden="1" outlineLevel="1" thickBot="1">
      <c r="A76" s="104" t="s">
        <v>78</v>
      </c>
      <c r="B76" s="81">
        <f>B69+B75</f>
        <v>1</v>
      </c>
      <c r="C76" s="71">
        <f aca="true" t="shared" si="27" ref="C76:P76">+C69+C75</f>
        <v>6712990.335306002</v>
      </c>
      <c r="D76" s="71">
        <f>+D69+D75</f>
        <v>1051266.4100000001</v>
      </c>
      <c r="E76" s="71">
        <f t="shared" si="27"/>
        <v>537451.68</v>
      </c>
      <c r="F76" s="71">
        <f t="shared" si="27"/>
        <v>513814.73</v>
      </c>
      <c r="G76" s="71">
        <f t="shared" si="27"/>
        <v>0</v>
      </c>
      <c r="H76" s="71">
        <f t="shared" si="27"/>
        <v>0</v>
      </c>
      <c r="I76" s="71">
        <f t="shared" si="27"/>
        <v>0</v>
      </c>
      <c r="J76" s="71">
        <f t="shared" si="27"/>
        <v>0</v>
      </c>
      <c r="K76" s="71">
        <f t="shared" si="27"/>
        <v>0</v>
      </c>
      <c r="L76" s="71">
        <f t="shared" si="27"/>
        <v>0</v>
      </c>
      <c r="M76" s="71">
        <f t="shared" si="27"/>
        <v>0</v>
      </c>
      <c r="N76" s="71">
        <f t="shared" si="27"/>
        <v>0</v>
      </c>
      <c r="O76" s="71">
        <f t="shared" si="27"/>
        <v>0</v>
      </c>
      <c r="P76" s="82">
        <f t="shared" si="27"/>
        <v>0</v>
      </c>
      <c r="R76" s="656"/>
    </row>
    <row r="77" spans="1:19" ht="15.75" collapsed="1" thickBot="1">
      <c r="A77" s="56" t="s">
        <v>79</v>
      </c>
      <c r="B77" s="52">
        <f aca="true" t="shared" si="28" ref="B77:P77">B61+B67</f>
        <v>1</v>
      </c>
      <c r="C77" s="60">
        <f t="shared" si="28"/>
        <v>8422398.57454826</v>
      </c>
      <c r="D77" s="60">
        <f t="shared" si="28"/>
        <v>1318962.83</v>
      </c>
      <c r="E77" s="231">
        <f t="shared" si="28"/>
        <v>674309.3700000001</v>
      </c>
      <c r="F77" s="231">
        <f t="shared" si="28"/>
        <v>644653.46</v>
      </c>
      <c r="G77" s="231">
        <f t="shared" si="28"/>
        <v>0</v>
      </c>
      <c r="H77" s="231">
        <f t="shared" si="28"/>
        <v>0</v>
      </c>
      <c r="I77" s="231">
        <f t="shared" si="28"/>
        <v>0</v>
      </c>
      <c r="J77" s="231">
        <f t="shared" si="28"/>
        <v>0</v>
      </c>
      <c r="K77" s="231">
        <f t="shared" si="28"/>
        <v>0</v>
      </c>
      <c r="L77" s="231">
        <f t="shared" si="28"/>
        <v>0</v>
      </c>
      <c r="M77" s="231">
        <f t="shared" si="28"/>
        <v>0</v>
      </c>
      <c r="N77" s="231">
        <f t="shared" si="28"/>
        <v>0</v>
      </c>
      <c r="O77" s="231">
        <f t="shared" si="28"/>
        <v>0</v>
      </c>
      <c r="P77" s="232">
        <f t="shared" si="28"/>
        <v>0</v>
      </c>
      <c r="R77" s="657">
        <f>R61+R67</f>
        <v>1</v>
      </c>
      <c r="S77" s="232">
        <f>S61+S67</f>
        <v>0</v>
      </c>
    </row>
    <row r="80" spans="1:3" ht="15">
      <c r="A80" t="s">
        <v>47</v>
      </c>
      <c r="C80" s="40">
        <f>C16</f>
        <v>0</v>
      </c>
    </row>
    <row r="81" ht="15.75" thickBot="1"/>
    <row r="82" spans="1:16" ht="15.75" thickBot="1">
      <c r="A82" s="56" t="s">
        <v>23</v>
      </c>
      <c r="B82" s="233">
        <v>1</v>
      </c>
      <c r="C82" s="63">
        <f>+C80*B82</f>
        <v>0</v>
      </c>
      <c r="D82" s="67">
        <f>SUM(E82:P82)</f>
        <v>0</v>
      </c>
      <c r="E82" s="64">
        <f aca="true" t="shared" si="29" ref="E82:P82">E16*$B82</f>
        <v>0</v>
      </c>
      <c r="F82" s="64">
        <f t="shared" si="29"/>
        <v>0</v>
      </c>
      <c r="G82" s="64">
        <f t="shared" si="29"/>
        <v>0</v>
      </c>
      <c r="H82" s="64">
        <f t="shared" si="29"/>
        <v>0</v>
      </c>
      <c r="I82" s="64">
        <f t="shared" si="29"/>
        <v>0</v>
      </c>
      <c r="J82" s="64">
        <f t="shared" si="29"/>
        <v>0</v>
      </c>
      <c r="K82" s="64">
        <f t="shared" si="29"/>
        <v>0</v>
      </c>
      <c r="L82" s="64">
        <f t="shared" si="29"/>
        <v>0</v>
      </c>
      <c r="M82" s="64">
        <f t="shared" si="29"/>
        <v>0</v>
      </c>
      <c r="N82" s="64">
        <f t="shared" si="29"/>
        <v>0</v>
      </c>
      <c r="O82" s="64">
        <f t="shared" si="29"/>
        <v>0</v>
      </c>
      <c r="P82" s="65">
        <f t="shared" si="29"/>
        <v>0</v>
      </c>
    </row>
  </sheetData>
  <sheetProtection/>
  <dataValidations count="1">
    <dataValidation allowBlank="1" showInputMessage="1" showErrorMessage="1" prompt="Please spell out the month, do not abbreviate" sqref="D1"/>
  </dataValidations>
  <hyperlinks>
    <hyperlink ref="A5" r:id="rId1" display="Protective Services"/>
    <hyperlink ref="A6" r:id="rId2" display="Behavioral Health"/>
    <hyperlink ref="A7" r:id="rId3" display="WCRTS"/>
    <hyperlink ref="A14" r:id="rId4" display="PROTECTIVE SERVICES"/>
    <hyperlink ref="A15" r:id="rId5" display="Behavioral Health"/>
    <hyperlink ref="A16" r:id="rId6" display="WCRTS"/>
  </hyperlinks>
  <printOptions/>
  <pageMargins left="0.5" right="0.5" top="0.5" bottom="0.5" header="0.25" footer="0"/>
  <pageSetup fitToHeight="1" fitToWidth="1" horizontalDpi="600" verticalDpi="600" orientation="landscape" paperSize="5" scale="62" r:id="rId7"/>
  <headerFooter alignWithMargins="0">
    <oddHeader>&amp;C&amp;"Calibri,Bold"&amp;14&amp;A</oddHeader>
    <oddFooter>&amp;L&amp;Z&amp;F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workbookViewId="0" topLeftCell="A1">
      <selection activeCell="D31" sqref="D31"/>
    </sheetView>
  </sheetViews>
  <sheetFormatPr defaultColWidth="9.140625" defaultRowHeight="15" outlineLevelRow="1"/>
  <cols>
    <col min="1" max="1" width="30.140625" style="0" customWidth="1"/>
    <col min="2" max="3" width="16.140625" style="0" customWidth="1"/>
    <col min="4" max="4" width="19.00390625" style="0" bestFit="1" customWidth="1"/>
    <col min="5" max="6" width="13.7109375" style="0" bestFit="1" customWidth="1"/>
    <col min="7" max="7" width="12.7109375" style="0" customWidth="1"/>
    <col min="8" max="8" width="13.7109375" style="0" bestFit="1" customWidth="1"/>
    <col min="9" max="16" width="12.7109375" style="0" customWidth="1"/>
    <col min="17" max="17" width="16.00390625" style="0" customWidth="1"/>
    <col min="18" max="18" width="10.00390625" style="0" customWidth="1"/>
    <col min="19" max="19" width="16.28125" style="0" bestFit="1" customWidth="1"/>
  </cols>
  <sheetData>
    <row r="1" spans="1:19" ht="16.5" thickBot="1">
      <c r="A1" s="23" t="s">
        <v>19</v>
      </c>
      <c r="D1" s="263" t="str">
        <f>'Monthly Receipts Input'!D1</f>
        <v>OCTOBER</v>
      </c>
      <c r="G1" s="24" t="s">
        <v>107</v>
      </c>
      <c r="Q1" s="386" t="s">
        <v>167</v>
      </c>
      <c r="R1" s="386"/>
      <c r="S1" s="451">
        <f>'County One Time Input-GROWTH'!D3</f>
        <v>0</v>
      </c>
    </row>
    <row r="2" spans="18:19" ht="15.75" thickBot="1">
      <c r="R2" s="466">
        <f>'Monthly Receipts Input'!R11</f>
        <v>0.35</v>
      </c>
      <c r="S2" s="456"/>
    </row>
    <row r="3" spans="1:19" s="29" customFormat="1" ht="30.75" thickBot="1">
      <c r="A3" s="256" t="s">
        <v>21</v>
      </c>
      <c r="B3" s="257" t="s">
        <v>42</v>
      </c>
      <c r="C3" s="261" t="s">
        <v>22</v>
      </c>
      <c r="D3" s="262" t="str">
        <f>CONCATENATE("RECEIPTS THROUGH"," ",D1)</f>
        <v>RECEIPTS THROUGH OCTOBER</v>
      </c>
      <c r="E3" s="259" t="s">
        <v>7</v>
      </c>
      <c r="F3" s="259" t="s">
        <v>8</v>
      </c>
      <c r="G3" s="259" t="s">
        <v>9</v>
      </c>
      <c r="H3" s="259" t="s">
        <v>10</v>
      </c>
      <c r="I3" s="259" t="s">
        <v>11</v>
      </c>
      <c r="J3" s="259" t="s">
        <v>12</v>
      </c>
      <c r="K3" s="259" t="s">
        <v>13</v>
      </c>
      <c r="L3" s="259" t="s">
        <v>14</v>
      </c>
      <c r="M3" s="259" t="s">
        <v>15</v>
      </c>
      <c r="N3" s="259" t="s">
        <v>16</v>
      </c>
      <c r="O3" s="259" t="s">
        <v>17</v>
      </c>
      <c r="P3" s="260" t="s">
        <v>18</v>
      </c>
      <c r="R3" s="450" t="s">
        <v>181</v>
      </c>
      <c r="S3" s="450" t="s">
        <v>179</v>
      </c>
    </row>
    <row r="4" spans="1:19" ht="5.25" customHeight="1" thickBot="1">
      <c r="A4" s="122"/>
      <c r="B4" s="123"/>
      <c r="C4" s="131"/>
      <c r="D4" s="129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R4" s="479"/>
      <c r="S4" s="457"/>
    </row>
    <row r="5" spans="1:19" ht="15">
      <c r="A5" s="126" t="s">
        <v>85</v>
      </c>
      <c r="B5" s="8">
        <f>'County One Time Input-BASE'!C27</f>
        <v>0.308105</v>
      </c>
      <c r="C5" s="132">
        <f>'County One Time Input-BASE'!B27</f>
        <v>492389993.479475</v>
      </c>
      <c r="D5" s="35">
        <f aca="true" t="shared" si="0" ref="D5:D11">SUM(E5:P5)+S5</f>
        <v>77133188.52</v>
      </c>
      <c r="E5" s="240">
        <f>'Monthly Receipts Input'!E14</f>
        <v>39429262.69</v>
      </c>
      <c r="F5" s="240">
        <f>'Monthly Receipts Input'!F14</f>
        <v>37703925.83</v>
      </c>
      <c r="G5" s="240">
        <f>'Monthly Receipts Input'!G14</f>
        <v>0</v>
      </c>
      <c r="H5" s="240">
        <f>'Monthly Receipts Input'!H14</f>
        <v>0</v>
      </c>
      <c r="I5" s="240">
        <f>'Monthly Receipts Input'!I14</f>
        <v>0</v>
      </c>
      <c r="J5" s="240">
        <f>'Monthly Receipts Input'!J14</f>
        <v>0</v>
      </c>
      <c r="K5" s="240">
        <f>'Monthly Receipts Input'!K14</f>
        <v>0</v>
      </c>
      <c r="L5" s="240">
        <f>'Monthly Receipts Input'!L14</f>
        <v>0</v>
      </c>
      <c r="M5" s="240">
        <f>'Monthly Receipts Input'!M14</f>
        <v>0</v>
      </c>
      <c r="N5" s="240">
        <f>'Monthly Receipts Input'!N14</f>
        <v>0</v>
      </c>
      <c r="O5" s="240">
        <f>'Monthly Receipts Input'!O14</f>
        <v>0</v>
      </c>
      <c r="P5" s="241">
        <f>'Monthly Receipts Input'!P14</f>
        <v>0</v>
      </c>
      <c r="Q5" s="324"/>
      <c r="R5" s="468">
        <f>'Monthly Receipts Input'!R14</f>
        <v>0.1</v>
      </c>
      <c r="S5" s="478">
        <f>'Monthly Receipts Input'!S14</f>
        <v>0</v>
      </c>
    </row>
    <row r="6" spans="1:19" ht="15">
      <c r="A6" s="126" t="s">
        <v>86</v>
      </c>
      <c r="B6" s="8">
        <f>'County One Time Input-BASE'!C28</f>
        <v>0.61996</v>
      </c>
      <c r="C6" s="132">
        <f>'County One Time Input-BASE'!B28</f>
        <v>990772951.9402</v>
      </c>
      <c r="D6" s="36">
        <f t="shared" si="0"/>
        <v>155205178.61</v>
      </c>
      <c r="E6" s="160">
        <f>'Monthly Receipts Input'!E15</f>
        <v>79338425.85</v>
      </c>
      <c r="F6" s="160">
        <f>'Monthly Receipts Input'!F15</f>
        <v>75866752.76</v>
      </c>
      <c r="G6" s="160">
        <f>'Monthly Receipts Input'!G15</f>
        <v>0</v>
      </c>
      <c r="H6" s="160">
        <f>'Monthly Receipts Input'!H15</f>
        <v>0</v>
      </c>
      <c r="I6" s="160">
        <f>'Monthly Receipts Input'!I15</f>
        <v>0</v>
      </c>
      <c r="J6" s="160">
        <f>'Monthly Receipts Input'!J15</f>
        <v>0</v>
      </c>
      <c r="K6" s="160">
        <f>'Monthly Receipts Input'!K15</f>
        <v>0</v>
      </c>
      <c r="L6" s="160">
        <f>'Monthly Receipts Input'!L15</f>
        <v>0</v>
      </c>
      <c r="M6" s="160">
        <f>'Monthly Receipts Input'!M15</f>
        <v>0</v>
      </c>
      <c r="N6" s="160">
        <f>'Monthly Receipts Input'!N15</f>
        <v>0</v>
      </c>
      <c r="O6" s="160">
        <f>'Monthly Receipts Input'!O15</f>
        <v>0</v>
      </c>
      <c r="P6" s="161">
        <f>'Monthly Receipts Input'!P15</f>
        <v>0</v>
      </c>
      <c r="Q6" s="324"/>
      <c r="R6" s="468">
        <f>'Monthly Receipts Input'!R15</f>
        <v>0.75</v>
      </c>
      <c r="S6" s="478">
        <f>'Monthly Receipts Input'!S15</f>
        <v>0</v>
      </c>
    </row>
    <row r="7" spans="1:19" ht="15">
      <c r="A7" s="126" t="s">
        <v>87</v>
      </c>
      <c r="B7" s="8">
        <f>'County One Time Input-BASE'!C29</f>
        <v>0.010613</v>
      </c>
      <c r="C7" s="132">
        <f>'County One Time Input-BASE'!B29</f>
        <v>16960889.958935</v>
      </c>
      <c r="D7" s="36">
        <f t="shared" si="0"/>
        <v>2656933.62</v>
      </c>
      <c r="E7" s="160">
        <f>'Monthly Receipts Input'!E16</f>
        <v>1358182.33</v>
      </c>
      <c r="F7" s="160">
        <f>'Monthly Receipts Input'!F16</f>
        <v>1298751.29</v>
      </c>
      <c r="G7" s="160">
        <f>'Monthly Receipts Input'!G16</f>
        <v>0</v>
      </c>
      <c r="H7" s="160">
        <f>'Monthly Receipts Input'!H16</f>
        <v>0</v>
      </c>
      <c r="I7" s="160">
        <f>'Monthly Receipts Input'!I16</f>
        <v>0</v>
      </c>
      <c r="J7" s="160">
        <f>'Monthly Receipts Input'!J16</f>
        <v>0</v>
      </c>
      <c r="K7" s="160">
        <f>'Monthly Receipts Input'!K16</f>
        <v>0</v>
      </c>
      <c r="L7" s="160">
        <f>'Monthly Receipts Input'!L16</f>
        <v>0</v>
      </c>
      <c r="M7" s="160">
        <f>'Monthly Receipts Input'!M16</f>
        <v>0</v>
      </c>
      <c r="N7" s="160">
        <f>'Monthly Receipts Input'!N16</f>
        <v>0</v>
      </c>
      <c r="O7" s="160">
        <f>'Monthly Receipts Input'!O16</f>
        <v>0</v>
      </c>
      <c r="P7" s="161">
        <f>'Monthly Receipts Input'!P16</f>
        <v>0</v>
      </c>
      <c r="Q7" s="324"/>
      <c r="R7" s="468">
        <f>'Monthly Receipts Input'!R16</f>
        <v>0.05</v>
      </c>
      <c r="S7" s="478">
        <f>'Monthly Receipts Input'!S16</f>
        <v>0</v>
      </c>
    </row>
    <row r="8" spans="1:19" ht="15">
      <c r="A8" s="247" t="s">
        <v>105</v>
      </c>
      <c r="B8" s="8">
        <f>'County One Time Input-BASE'!C30</f>
        <v>0.061322</v>
      </c>
      <c r="C8" s="132">
        <f>'County One Time Input-BASE'!B30</f>
        <v>98000159.62139</v>
      </c>
      <c r="D8" s="36">
        <f t="shared" si="0"/>
        <v>15351783.92</v>
      </c>
      <c r="E8" s="239">
        <f>'Monthly Receipts Input'!E17</f>
        <v>7847588.47</v>
      </c>
      <c r="F8" s="239">
        <f>'Monthly Receipts Input'!F17</f>
        <v>7504195.45</v>
      </c>
      <c r="G8" s="239">
        <f>'Monthly Receipts Input'!G17</f>
        <v>0</v>
      </c>
      <c r="H8" s="239">
        <f>'Monthly Receipts Input'!H17</f>
        <v>0</v>
      </c>
      <c r="I8" s="239">
        <f>'Monthly Receipts Input'!I17</f>
        <v>0</v>
      </c>
      <c r="J8" s="239">
        <f>'Monthly Receipts Input'!J17</f>
        <v>0</v>
      </c>
      <c r="K8" s="239">
        <f>'Monthly Receipts Input'!K17</f>
        <v>0</v>
      </c>
      <c r="L8" s="239">
        <f>'Monthly Receipts Input'!L17</f>
        <v>0</v>
      </c>
      <c r="M8" s="239">
        <f>'Monthly Receipts Input'!M17</f>
        <v>0</v>
      </c>
      <c r="N8" s="239">
        <f>'Monthly Receipts Input'!N17</f>
        <v>0</v>
      </c>
      <c r="O8" s="239">
        <f>'Monthly Receipts Input'!O17</f>
        <v>0</v>
      </c>
      <c r="P8" s="242">
        <f>'Monthly Receipts Input'!P17</f>
        <v>0</v>
      </c>
      <c r="Q8" s="324"/>
      <c r="R8" s="468">
        <f>'Monthly Receipts Input'!R17</f>
        <v>0.1</v>
      </c>
      <c r="S8" s="478">
        <f>'Monthly Receipts Input'!S17</f>
        <v>0</v>
      </c>
    </row>
    <row r="9" spans="1:19" ht="15" outlineLevel="1">
      <c r="A9" s="439" t="s">
        <v>160</v>
      </c>
      <c r="B9" s="440">
        <f>'County One Time Input-BASE'!C31</f>
        <v>0.94481</v>
      </c>
      <c r="C9" s="475">
        <f>'County One Time Input-BASE'!B31</f>
        <v>92591530.81188549</v>
      </c>
      <c r="D9" s="446">
        <f t="shared" si="0"/>
        <v>14504518.9654552</v>
      </c>
      <c r="E9" s="476">
        <f>'Monthly Receipts Input'!E18</f>
        <v>7414480.0623407</v>
      </c>
      <c r="F9" s="476">
        <f>'Monthly Receipts Input'!F18</f>
        <v>7090038.9031145</v>
      </c>
      <c r="G9" s="476">
        <f>'Monthly Receipts Input'!G18</f>
        <v>0</v>
      </c>
      <c r="H9" s="476">
        <f>'Monthly Receipts Input'!H18</f>
        <v>0</v>
      </c>
      <c r="I9" s="476">
        <f>'Monthly Receipts Input'!I18</f>
        <v>0</v>
      </c>
      <c r="J9" s="476">
        <f>'Monthly Receipts Input'!J18</f>
        <v>0</v>
      </c>
      <c r="K9" s="476">
        <f>'Monthly Receipts Input'!K18</f>
        <v>0</v>
      </c>
      <c r="L9" s="476">
        <f>'Monthly Receipts Input'!L18</f>
        <v>0</v>
      </c>
      <c r="M9" s="476">
        <f>'Monthly Receipts Input'!M18</f>
        <v>0</v>
      </c>
      <c r="N9" s="476">
        <f>'Monthly Receipts Input'!N18</f>
        <v>0</v>
      </c>
      <c r="O9" s="476">
        <f>'Monthly Receipts Input'!O18</f>
        <v>0</v>
      </c>
      <c r="P9" s="477">
        <f>'Monthly Receipts Input'!P18</f>
        <v>0</v>
      </c>
      <c r="Q9" s="324"/>
      <c r="R9" s="473">
        <f>'County One Time Input-GROWTH'!C27</f>
        <v>0.94481</v>
      </c>
      <c r="S9" s="445">
        <f>S8*$R9</f>
        <v>0</v>
      </c>
    </row>
    <row r="10" spans="1:19" ht="15.75" outlineLevel="1" thickBot="1">
      <c r="A10" s="439" t="s">
        <v>161</v>
      </c>
      <c r="B10" s="440">
        <f>'County One Time Input-BASE'!C32</f>
        <v>0.05519</v>
      </c>
      <c r="C10" s="475">
        <f>'County One Time Input-BASE'!B32</f>
        <v>5408628.809504515</v>
      </c>
      <c r="D10" s="447">
        <f t="shared" si="0"/>
        <v>847264.9545448001</v>
      </c>
      <c r="E10" s="476">
        <f>'Monthly Receipts Input'!E19</f>
        <v>433108.4076593</v>
      </c>
      <c r="F10" s="476">
        <f>'Monthly Receipts Input'!F19</f>
        <v>414156.5468855</v>
      </c>
      <c r="G10" s="476">
        <f>'Monthly Receipts Input'!G19</f>
        <v>0</v>
      </c>
      <c r="H10" s="476">
        <f>'Monthly Receipts Input'!H19</f>
        <v>0</v>
      </c>
      <c r="I10" s="476">
        <f>'Monthly Receipts Input'!I19</f>
        <v>0</v>
      </c>
      <c r="J10" s="476">
        <f>'Monthly Receipts Input'!J19</f>
        <v>0</v>
      </c>
      <c r="K10" s="476">
        <f>'Monthly Receipts Input'!K19</f>
        <v>0</v>
      </c>
      <c r="L10" s="476">
        <f>'Monthly Receipts Input'!L19</f>
        <v>0</v>
      </c>
      <c r="M10" s="476">
        <f>'Monthly Receipts Input'!M19</f>
        <v>0</v>
      </c>
      <c r="N10" s="476">
        <f>'Monthly Receipts Input'!N19</f>
        <v>0</v>
      </c>
      <c r="O10" s="476">
        <f>'Monthly Receipts Input'!O19</f>
        <v>0</v>
      </c>
      <c r="P10" s="477">
        <f>'Monthly Receipts Input'!P19</f>
        <v>0</v>
      </c>
      <c r="Q10" s="324"/>
      <c r="R10" s="474">
        <f>'County One Time Input-GROWTH'!C28</f>
        <v>0.05519</v>
      </c>
      <c r="S10" s="458">
        <f>S8*$R10</f>
        <v>0</v>
      </c>
    </row>
    <row r="11" spans="1:19" ht="15.75" thickBot="1">
      <c r="A11" s="51" t="s">
        <v>91</v>
      </c>
      <c r="B11" s="52">
        <f>SUM(B5:B8)</f>
        <v>0.9999999999999999</v>
      </c>
      <c r="C11" s="133">
        <f>SUM(C5:C8)</f>
        <v>1598123995</v>
      </c>
      <c r="D11" s="130">
        <f t="shared" si="0"/>
        <v>250347084.67000002</v>
      </c>
      <c r="E11" s="54">
        <f aca="true" t="shared" si="1" ref="E11:P11">SUM(E5:E8)</f>
        <v>127973459.33999999</v>
      </c>
      <c r="F11" s="54">
        <f t="shared" si="1"/>
        <v>122373625.33000001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5">
        <f t="shared" si="1"/>
        <v>0</v>
      </c>
      <c r="R11" s="471"/>
      <c r="S11" s="470">
        <f>SUM(S5:S8)</f>
        <v>0</v>
      </c>
    </row>
    <row r="13" ht="15">
      <c r="G13" s="246" t="str">
        <f>CONCATENATE('County One Time Input-BASE'!C2," County Receipts - LAW ENFORCEMENT SERVICES ACCOUNT")</f>
        <v>San Mateo County Receipts - LAW ENFORCEMENT SERVICES ACCOUNT</v>
      </c>
    </row>
    <row r="14" ht="15.75" thickBot="1">
      <c r="S14" s="61" t="s">
        <v>274</v>
      </c>
    </row>
    <row r="15" spans="1:19" s="29" customFormat="1" ht="45.75" thickBot="1">
      <c r="A15" s="25" t="s">
        <v>21</v>
      </c>
      <c r="B15" s="26" t="str">
        <f>CONCATENATE('County One Time Input-BASE'!C2," County % Distribution")</f>
        <v>San Mateo County % Distribution</v>
      </c>
      <c r="C15" s="26" t="str">
        <f>CONCATENATE('County One Time Input-BASE'!C2," County Portion")</f>
        <v>San Mateo County Portion</v>
      </c>
      <c r="D15" s="59" t="str">
        <f>CONCATENATE("RECEIPTS THROUGH"," ",D1)</f>
        <v>RECEIPTS THROUGH OCTOBER</v>
      </c>
      <c r="E15" s="27" t="s">
        <v>7</v>
      </c>
      <c r="F15" s="27" t="s">
        <v>8</v>
      </c>
      <c r="G15" s="27" t="s">
        <v>9</v>
      </c>
      <c r="H15" s="27" t="s">
        <v>10</v>
      </c>
      <c r="I15" s="27" t="s">
        <v>11</v>
      </c>
      <c r="J15" s="27" t="s">
        <v>12</v>
      </c>
      <c r="K15" s="27" t="s">
        <v>13</v>
      </c>
      <c r="L15" s="27" t="s">
        <v>14</v>
      </c>
      <c r="M15" s="27" t="s">
        <v>15</v>
      </c>
      <c r="N15" s="27" t="s">
        <v>16</v>
      </c>
      <c r="O15" s="27" t="s">
        <v>17</v>
      </c>
      <c r="P15" s="28" t="s">
        <v>18</v>
      </c>
      <c r="R15" s="450" t="s">
        <v>181</v>
      </c>
      <c r="S15" s="450" t="s">
        <v>179</v>
      </c>
    </row>
    <row r="16" spans="1:19" ht="5.25" customHeight="1" thickBot="1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R16" s="479"/>
      <c r="S16" s="457"/>
    </row>
    <row r="17" spans="1:19" ht="15">
      <c r="A17" s="126" t="s">
        <v>85</v>
      </c>
      <c r="B17" s="8">
        <f>'County One Time Input-BASE'!F27</f>
        <v>0</v>
      </c>
      <c r="C17" s="132">
        <f>'County One Time Input-BASE'!G27</f>
        <v>0</v>
      </c>
      <c r="D17" s="35">
        <f aca="true" t="shared" si="2" ref="D17:D23">SUM(E17:P17)+S17</f>
        <v>0</v>
      </c>
      <c r="E17" s="240">
        <f aca="true" t="shared" si="3" ref="E17:P17">E5*$B17</f>
        <v>0</v>
      </c>
      <c r="F17" s="240">
        <f t="shared" si="3"/>
        <v>0</v>
      </c>
      <c r="G17" s="240">
        <f t="shared" si="3"/>
        <v>0</v>
      </c>
      <c r="H17" s="240">
        <f t="shared" si="3"/>
        <v>0</v>
      </c>
      <c r="I17" s="240">
        <f t="shared" si="3"/>
        <v>0</v>
      </c>
      <c r="J17" s="240">
        <f t="shared" si="3"/>
        <v>0</v>
      </c>
      <c r="K17" s="240">
        <f t="shared" si="3"/>
        <v>0</v>
      </c>
      <c r="L17" s="240">
        <f t="shared" si="3"/>
        <v>0</v>
      </c>
      <c r="M17" s="240">
        <f t="shared" si="3"/>
        <v>0</v>
      </c>
      <c r="N17" s="240">
        <f t="shared" si="3"/>
        <v>0</v>
      </c>
      <c r="O17" s="240">
        <f t="shared" si="3"/>
        <v>0</v>
      </c>
      <c r="P17" s="241">
        <f t="shared" si="3"/>
        <v>0</v>
      </c>
      <c r="R17" s="480">
        <f>'County One Time Input-GROWTH'!F23</f>
        <v>0</v>
      </c>
      <c r="S17" s="481">
        <f>'County One Time Input-GROWTH'!G23</f>
        <v>0</v>
      </c>
    </row>
    <row r="18" spans="1:19" ht="15">
      <c r="A18" s="126" t="s">
        <v>86</v>
      </c>
      <c r="B18" s="8">
        <f>'County One Time Input-BASE'!F28</f>
        <v>0</v>
      </c>
      <c r="C18" s="132">
        <f>'County One Time Input-BASE'!G28</f>
        <v>0</v>
      </c>
      <c r="D18" s="36">
        <f t="shared" si="2"/>
        <v>0</v>
      </c>
      <c r="E18" s="160">
        <f aca="true" t="shared" si="4" ref="E18:P18">E6*$B18</f>
        <v>0</v>
      </c>
      <c r="F18" s="160">
        <f t="shared" si="4"/>
        <v>0</v>
      </c>
      <c r="G18" s="160">
        <f t="shared" si="4"/>
        <v>0</v>
      </c>
      <c r="H18" s="160">
        <f t="shared" si="4"/>
        <v>0</v>
      </c>
      <c r="I18" s="160">
        <f t="shared" si="4"/>
        <v>0</v>
      </c>
      <c r="J18" s="160">
        <f t="shared" si="4"/>
        <v>0</v>
      </c>
      <c r="K18" s="160">
        <f t="shared" si="4"/>
        <v>0</v>
      </c>
      <c r="L18" s="160">
        <f t="shared" si="4"/>
        <v>0</v>
      </c>
      <c r="M18" s="160">
        <f t="shared" si="4"/>
        <v>0</v>
      </c>
      <c r="N18" s="160">
        <f t="shared" si="4"/>
        <v>0</v>
      </c>
      <c r="O18" s="160">
        <f t="shared" si="4"/>
        <v>0</v>
      </c>
      <c r="P18" s="161">
        <f t="shared" si="4"/>
        <v>0</v>
      </c>
      <c r="R18" s="468">
        <f>'County One Time Input-GROWTH'!F24</f>
        <v>0</v>
      </c>
      <c r="S18" s="478">
        <f>'County One Time Input-GROWTH'!G24</f>
        <v>0</v>
      </c>
    </row>
    <row r="19" spans="1:19" ht="15">
      <c r="A19" s="126" t="s">
        <v>87</v>
      </c>
      <c r="B19" s="8">
        <f>'County One Time Input-BASE'!F29</f>
        <v>0</v>
      </c>
      <c r="C19" s="132">
        <f>'County One Time Input-BASE'!G29</f>
        <v>0</v>
      </c>
      <c r="D19" s="36">
        <f t="shared" si="2"/>
        <v>0</v>
      </c>
      <c r="E19" s="160">
        <f aca="true" t="shared" si="5" ref="E19:P19">E7*$B19</f>
        <v>0</v>
      </c>
      <c r="F19" s="160">
        <f t="shared" si="5"/>
        <v>0</v>
      </c>
      <c r="G19" s="160">
        <f t="shared" si="5"/>
        <v>0</v>
      </c>
      <c r="H19" s="160">
        <f t="shared" si="5"/>
        <v>0</v>
      </c>
      <c r="I19" s="160">
        <f t="shared" si="5"/>
        <v>0</v>
      </c>
      <c r="J19" s="160">
        <f t="shared" si="5"/>
        <v>0</v>
      </c>
      <c r="K19" s="160">
        <f t="shared" si="5"/>
        <v>0</v>
      </c>
      <c r="L19" s="160">
        <f t="shared" si="5"/>
        <v>0</v>
      </c>
      <c r="M19" s="160">
        <f t="shared" si="5"/>
        <v>0</v>
      </c>
      <c r="N19" s="160">
        <f t="shared" si="5"/>
        <v>0</v>
      </c>
      <c r="O19" s="160">
        <f t="shared" si="5"/>
        <v>0</v>
      </c>
      <c r="P19" s="161">
        <f t="shared" si="5"/>
        <v>0</v>
      </c>
      <c r="R19" s="468">
        <f>'County One Time Input-GROWTH'!F25</f>
        <v>0</v>
      </c>
      <c r="S19" s="478">
        <f>'County One Time Input-GROWTH'!G25</f>
        <v>0</v>
      </c>
    </row>
    <row r="20" spans="1:19" ht="15">
      <c r="A20" s="247" t="s">
        <v>105</v>
      </c>
      <c r="B20" s="8">
        <f>'County One Time Input-BASE'!F30</f>
        <v>0</v>
      </c>
      <c r="C20" s="132">
        <f>'County One Time Input-BASE'!G30</f>
        <v>0</v>
      </c>
      <c r="D20" s="36">
        <f t="shared" si="2"/>
        <v>0</v>
      </c>
      <c r="E20" s="239">
        <f aca="true" t="shared" si="6" ref="E20:P20">E8*$B20</f>
        <v>0</v>
      </c>
      <c r="F20" s="239">
        <f t="shared" si="6"/>
        <v>0</v>
      </c>
      <c r="G20" s="239">
        <f t="shared" si="6"/>
        <v>0</v>
      </c>
      <c r="H20" s="239">
        <f t="shared" si="6"/>
        <v>0</v>
      </c>
      <c r="I20" s="239">
        <f t="shared" si="6"/>
        <v>0</v>
      </c>
      <c r="J20" s="239">
        <f t="shared" si="6"/>
        <v>0</v>
      </c>
      <c r="K20" s="239">
        <f t="shared" si="6"/>
        <v>0</v>
      </c>
      <c r="L20" s="239">
        <f t="shared" si="6"/>
        <v>0</v>
      </c>
      <c r="M20" s="239">
        <f t="shared" si="6"/>
        <v>0</v>
      </c>
      <c r="N20" s="239">
        <f t="shared" si="6"/>
        <v>0</v>
      </c>
      <c r="O20" s="239">
        <f t="shared" si="6"/>
        <v>0</v>
      </c>
      <c r="P20" s="242">
        <f t="shared" si="6"/>
        <v>0</v>
      </c>
      <c r="R20" s="468">
        <f>'County One Time Input-GROWTH'!F26</f>
        <v>0</v>
      </c>
      <c r="S20" s="478">
        <f>'County One Time Input-GROWTH'!G26</f>
        <v>0</v>
      </c>
    </row>
    <row r="21" spans="1:19" ht="15" outlineLevel="1">
      <c r="A21" s="439" t="s">
        <v>160</v>
      </c>
      <c r="B21" s="8">
        <f>'County One Time Input-BASE'!F31</f>
        <v>0</v>
      </c>
      <c r="C21" s="132">
        <f>'County One Time Input-BASE'!G31</f>
        <v>0</v>
      </c>
      <c r="D21" s="446">
        <f t="shared" si="2"/>
        <v>0</v>
      </c>
      <c r="E21" s="476">
        <f>E$8*$B9*$B21</f>
        <v>0</v>
      </c>
      <c r="F21" s="476">
        <f aca="true" t="shared" si="7" ref="F21:P22">F$8*$B9*$B21</f>
        <v>0</v>
      </c>
      <c r="G21" s="476">
        <f t="shared" si="7"/>
        <v>0</v>
      </c>
      <c r="H21" s="476">
        <f t="shared" si="7"/>
        <v>0</v>
      </c>
      <c r="I21" s="476">
        <f t="shared" si="7"/>
        <v>0</v>
      </c>
      <c r="J21" s="476">
        <f t="shared" si="7"/>
        <v>0</v>
      </c>
      <c r="K21" s="476">
        <f t="shared" si="7"/>
        <v>0</v>
      </c>
      <c r="L21" s="476">
        <f t="shared" si="7"/>
        <v>0</v>
      </c>
      <c r="M21" s="476">
        <f t="shared" si="7"/>
        <v>0</v>
      </c>
      <c r="N21" s="476">
        <f t="shared" si="7"/>
        <v>0</v>
      </c>
      <c r="O21" s="476">
        <f t="shared" si="7"/>
        <v>0</v>
      </c>
      <c r="P21" s="477">
        <f t="shared" si="7"/>
        <v>0</v>
      </c>
      <c r="R21" s="468">
        <f>'County One Time Input-GROWTH'!F27</f>
        <v>0</v>
      </c>
      <c r="S21" s="477">
        <f>S$8*$B9*$R21</f>
        <v>0</v>
      </c>
    </row>
    <row r="22" spans="1:19" ht="15.75" outlineLevel="1" thickBot="1">
      <c r="A22" s="439" t="s">
        <v>161</v>
      </c>
      <c r="B22" s="8">
        <f>'County One Time Input-BASE'!F32</f>
        <v>0</v>
      </c>
      <c r="C22" s="132">
        <f>'County One Time Input-BASE'!G32</f>
        <v>0</v>
      </c>
      <c r="D22" s="447">
        <f t="shared" si="2"/>
        <v>0</v>
      </c>
      <c r="E22" s="476">
        <f>E$8*$B10*$B22</f>
        <v>0</v>
      </c>
      <c r="F22" s="476">
        <f t="shared" si="7"/>
        <v>0</v>
      </c>
      <c r="G22" s="476">
        <f t="shared" si="7"/>
        <v>0</v>
      </c>
      <c r="H22" s="476">
        <f t="shared" si="7"/>
        <v>0</v>
      </c>
      <c r="I22" s="476">
        <f t="shared" si="7"/>
        <v>0</v>
      </c>
      <c r="J22" s="476">
        <f t="shared" si="7"/>
        <v>0</v>
      </c>
      <c r="K22" s="476">
        <f t="shared" si="7"/>
        <v>0</v>
      </c>
      <c r="L22" s="476">
        <f t="shared" si="7"/>
        <v>0</v>
      </c>
      <c r="M22" s="476">
        <f t="shared" si="7"/>
        <v>0</v>
      </c>
      <c r="N22" s="476">
        <f t="shared" si="7"/>
        <v>0</v>
      </c>
      <c r="O22" s="476">
        <f t="shared" si="7"/>
        <v>0</v>
      </c>
      <c r="P22" s="477">
        <f t="shared" si="7"/>
        <v>0</v>
      </c>
      <c r="R22" s="469">
        <f>'County One Time Input-GROWTH'!F28</f>
        <v>0</v>
      </c>
      <c r="S22" s="482">
        <f>S$8*$B10*$R22</f>
        <v>0</v>
      </c>
    </row>
    <row r="23" spans="1:19" ht="15.75" thickBot="1">
      <c r="A23" s="51" t="s">
        <v>108</v>
      </c>
      <c r="B23" s="52"/>
      <c r="C23" s="133">
        <f>SUM(C17:C20)</f>
        <v>0</v>
      </c>
      <c r="D23" s="130">
        <f t="shared" si="2"/>
        <v>0</v>
      </c>
      <c r="E23" s="54">
        <f>SUM(E17:E20)</f>
        <v>0</v>
      </c>
      <c r="F23" s="54">
        <f aca="true" t="shared" si="8" ref="F23:P23">SUM(F17:F20)</f>
        <v>0</v>
      </c>
      <c r="G23" s="54">
        <f t="shared" si="8"/>
        <v>0</v>
      </c>
      <c r="H23" s="54">
        <f t="shared" si="8"/>
        <v>0</v>
      </c>
      <c r="I23" s="54">
        <f t="shared" si="8"/>
        <v>0</v>
      </c>
      <c r="J23" s="54">
        <f t="shared" si="8"/>
        <v>0</v>
      </c>
      <c r="K23" s="54">
        <f t="shared" si="8"/>
        <v>0</v>
      </c>
      <c r="L23" s="54">
        <f t="shared" si="8"/>
        <v>0</v>
      </c>
      <c r="M23" s="54">
        <f t="shared" si="8"/>
        <v>0</v>
      </c>
      <c r="N23" s="54">
        <f t="shared" si="8"/>
        <v>0</v>
      </c>
      <c r="O23" s="54">
        <f t="shared" si="8"/>
        <v>0</v>
      </c>
      <c r="P23" s="55">
        <f t="shared" si="8"/>
        <v>0</v>
      </c>
      <c r="R23" s="471"/>
      <c r="S23" s="470">
        <f>SUM(S17:S20)</f>
        <v>0</v>
      </c>
    </row>
    <row r="33" ht="15">
      <c r="G33" s="325"/>
    </row>
  </sheetData>
  <dataValidations count="1">
    <dataValidation allowBlank="1" showInputMessage="1" showErrorMessage="1" prompt="Please spell out the month, do not abbreviate" sqref="D1"/>
  </dataValidations>
  <hyperlinks>
    <hyperlink ref="A5" r:id="rId1" display="TRIAL COURT SECURITY"/>
    <hyperlink ref="A6" r:id="rId2" display="COMMUNITY CORRECTIONS"/>
    <hyperlink ref="A7" r:id="rId3" display="DA &amp; PUBLIC DEFENDER"/>
    <hyperlink ref="A8" r:id="rId4" display="JUVENILE JUSTICE (not monthly)"/>
    <hyperlink ref="A17" r:id="rId5" display="TRIAL COURT SECURITY"/>
    <hyperlink ref="A18" r:id="rId6" display="COMMUNITY CORRECTIONS"/>
    <hyperlink ref="A19" r:id="rId7" display="DA &amp; PUBLIC DEFENDER"/>
    <hyperlink ref="A20" r:id="rId8" display="JUVENILE JUSTICE (not monthly)"/>
  </hyperlinks>
  <printOptions/>
  <pageMargins left="0.75" right="0.75" top="1" bottom="1" header="0.25" footer="0.5"/>
  <pageSetup fitToHeight="1" fitToWidth="1" horizontalDpi="600" verticalDpi="600" orientation="landscape" paperSize="5" scale="57" r:id="rId9"/>
  <headerFooter alignWithMargins="0">
    <oddHeader>&amp;C&amp;"Calibri,Bold"&amp;14&amp;A</oddHeader>
    <oddFooter>&amp;L&amp;Z&amp;F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7"/>
  <sheetViews>
    <sheetView workbookViewId="0" topLeftCell="A16">
      <selection activeCell="I40" sqref="I40"/>
    </sheetView>
  </sheetViews>
  <sheetFormatPr defaultColWidth="9.140625" defaultRowHeight="15"/>
  <cols>
    <col min="1" max="1" width="27.57421875" style="2" customWidth="1"/>
    <col min="2" max="2" width="14.7109375" style="2" bestFit="1" customWidth="1"/>
    <col min="3" max="3" width="15.00390625" style="2" customWidth="1"/>
    <col min="4" max="4" width="17.421875" style="2" customWidth="1"/>
    <col min="5" max="5" width="15.421875" style="2" customWidth="1"/>
    <col min="6" max="6" width="13.28125" style="2" bestFit="1" customWidth="1"/>
    <col min="7" max="7" width="13.28125" style="2" customWidth="1"/>
    <col min="8" max="8" width="7.00390625" style="2" customWidth="1"/>
    <col min="9" max="9" width="16.421875" style="2" customWidth="1"/>
    <col min="10" max="10" width="13.57421875" style="2" customWidth="1"/>
    <col min="11" max="11" width="15.8515625" style="2" customWidth="1"/>
    <col min="12" max="12" width="11.57421875" style="2" bestFit="1" customWidth="1"/>
    <col min="13" max="16384" width="9.140625" style="2" customWidth="1"/>
  </cols>
  <sheetData>
    <row r="1" spans="1:11" ht="15.75" customHeight="1">
      <c r="A1" s="679" t="s">
        <v>90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</row>
    <row r="2" spans="1:5" ht="16.5" thickBot="1">
      <c r="A2" s="1"/>
      <c r="B2" s="5"/>
      <c r="C2" s="5"/>
      <c r="D2" s="5" t="s">
        <v>104</v>
      </c>
      <c r="E2" s="5"/>
    </row>
    <row r="3" spans="1:5" ht="16.5" thickBot="1">
      <c r="A3" s="1"/>
      <c r="B3" s="1"/>
      <c r="C3" s="3" t="s">
        <v>0</v>
      </c>
      <c r="D3" s="4" t="str">
        <f>'Monthly Receipts Input'!D1</f>
        <v>OCTOBER</v>
      </c>
      <c r="E3" s="1"/>
    </row>
    <row r="4" spans="1:5" ht="15.75">
      <c r="A4" s="1"/>
      <c r="C4" s="1"/>
      <c r="D4" s="1"/>
      <c r="E4" s="1"/>
    </row>
    <row r="5" spans="1:9" ht="15.75" customHeight="1">
      <c r="A5" s="190"/>
      <c r="B5" s="3"/>
      <c r="C5" s="190"/>
      <c r="D5" s="3" t="str">
        <f>'County One Time Input-BASE'!B7</f>
        <v>SUPPORT SERVICES ACCOUNT</v>
      </c>
      <c r="E5" s="322">
        <f>'County One Time Input-BASE'!C7</f>
        <v>0.641975</v>
      </c>
      <c r="F5" s="190"/>
      <c r="I5" s="153"/>
    </row>
    <row r="6" spans="2:9" ht="16.5" thickBot="1">
      <c r="B6" s="5"/>
      <c r="I6" s="153"/>
    </row>
    <row r="7" spans="1:11" ht="60.75" thickBot="1">
      <c r="A7" s="6" t="s">
        <v>1</v>
      </c>
      <c r="B7" s="168" t="s">
        <v>2</v>
      </c>
      <c r="C7" s="169" t="s">
        <v>96</v>
      </c>
      <c r="D7" s="169" t="str">
        <f>CONCATENATE("State Receipts up to:","  ",D3)</f>
        <v>State Receipts up to:  OCTOBER</v>
      </c>
      <c r="E7" s="169" t="s">
        <v>4</v>
      </c>
      <c r="F7" s="170" t="s">
        <v>5</v>
      </c>
      <c r="G7" s="142" t="s">
        <v>93</v>
      </c>
      <c r="I7" s="186"/>
      <c r="J7" s="186"/>
      <c r="K7" s="186"/>
    </row>
    <row r="8" spans="1:11" ht="6.75" customHeight="1" thickBot="1">
      <c r="A8" s="167"/>
      <c r="B8" s="175"/>
      <c r="C8" s="176"/>
      <c r="D8" s="176"/>
      <c r="E8" s="176"/>
      <c r="F8" s="177"/>
      <c r="G8" s="152"/>
      <c r="I8" s="187"/>
      <c r="J8" s="187"/>
      <c r="K8" s="187"/>
    </row>
    <row r="9" spans="1:12" ht="15">
      <c r="A9" s="107" t="str">
        <f>'County One Time Input-BASE'!A11</f>
        <v>PROTECTIVE SERVICES</v>
      </c>
      <c r="B9" s="171">
        <f>'County One Time Input-BASE'!B11</f>
        <v>1812802957.3949819</v>
      </c>
      <c r="C9" s="172">
        <f>'County One Time Input-BASE'!C11</f>
        <v>0.632609</v>
      </c>
      <c r="D9" s="173">
        <f>'Monthly Receipts Input'!D5</f>
        <v>283976673.21000004</v>
      </c>
      <c r="E9" s="174">
        <f>D43*G9</f>
        <v>1949450700.0064452</v>
      </c>
      <c r="F9" s="140">
        <f>+E9-B9</f>
        <v>136647742.6114633</v>
      </c>
      <c r="G9" s="318">
        <f>'County One Time Input-BASE'!D11</f>
        <v>0.4061191627663301</v>
      </c>
      <c r="I9" s="594"/>
      <c r="J9" s="595"/>
      <c r="K9" s="188"/>
      <c r="L9" s="344"/>
    </row>
    <row r="10" spans="1:12" ht="15">
      <c r="A10" s="107" t="str">
        <f>'County One Time Input-BASE'!A12</f>
        <v>BEHAVIORAL HEALTH</v>
      </c>
      <c r="B10" s="171">
        <f>'County One Time Input-BASE'!B12</f>
        <v>1047690840.605018</v>
      </c>
      <c r="C10" s="172">
        <f>'County One Time Input-BASE'!C12</f>
        <v>0.367391</v>
      </c>
      <c r="D10" s="9">
        <f>'Monthly Receipts Input'!D6</f>
        <v>164070278.11</v>
      </c>
      <c r="E10" s="12">
        <f>SUM((D$43*(G10+G11)-E11))</f>
        <v>1127049734.9706817</v>
      </c>
      <c r="F10" s="13">
        <f>+E10-B10</f>
        <v>79358894.36566365</v>
      </c>
      <c r="G10" s="319">
        <f>'County One Time Input-BASE'!D12</f>
        <v>0.23471239678243497</v>
      </c>
      <c r="I10" s="594"/>
      <c r="J10" s="595"/>
      <c r="K10" s="188"/>
      <c r="L10" s="344"/>
    </row>
    <row r="11" spans="1:12" ht="15.75" thickBot="1">
      <c r="A11" s="107" t="str">
        <f>'County One Time Input-BASE'!A13</f>
        <v>WCRTS (FIXED AMT)</v>
      </c>
      <c r="B11" s="171">
        <f>'County One Time Input-BASE'!B13</f>
        <v>5104000</v>
      </c>
      <c r="C11" s="172">
        <f>'County One Time Input-BASE'!C13</f>
        <v>0</v>
      </c>
      <c r="D11" s="46">
        <f>'Monthly Receipts Input'!D7</f>
        <v>850666.66</v>
      </c>
      <c r="E11" s="47">
        <f>B11</f>
        <v>5104000</v>
      </c>
      <c r="F11" s="48">
        <f>+E11-B11</f>
        <v>0</v>
      </c>
      <c r="G11" s="320">
        <f>'County One Time Input-BASE'!D13</f>
        <v>0.001143440437529974</v>
      </c>
      <c r="I11" s="594"/>
      <c r="J11" s="595"/>
      <c r="K11" s="188"/>
      <c r="L11" s="344"/>
    </row>
    <row r="12" spans="1:11" ht="15.75" thickBot="1">
      <c r="A12" s="49" t="s">
        <v>41</v>
      </c>
      <c r="B12" s="216">
        <f aca="true" t="shared" si="0" ref="B12:G12">SUM(B9:B11)</f>
        <v>2865597798</v>
      </c>
      <c r="C12" s="326">
        <f t="shared" si="0"/>
        <v>1</v>
      </c>
      <c r="D12" s="327">
        <f t="shared" si="0"/>
        <v>448897617.9800001</v>
      </c>
      <c r="E12" s="328">
        <f t="shared" si="0"/>
        <v>3081604434.977127</v>
      </c>
      <c r="F12" s="329">
        <f t="shared" si="0"/>
        <v>216006636.97712696</v>
      </c>
      <c r="G12" s="162">
        <f t="shared" si="0"/>
        <v>0.641974999986295</v>
      </c>
      <c r="I12" s="596"/>
      <c r="J12" s="597"/>
      <c r="K12" s="189"/>
    </row>
    <row r="13" spans="9:11" ht="15">
      <c r="I13" s="187"/>
      <c r="J13" s="187"/>
      <c r="K13" s="187"/>
    </row>
    <row r="14" spans="9:11" ht="15">
      <c r="I14" s="187"/>
      <c r="J14" s="187"/>
      <c r="K14" s="187"/>
    </row>
    <row r="15" spans="9:11" ht="15">
      <c r="I15" s="187"/>
      <c r="J15" s="187"/>
      <c r="K15" s="187"/>
    </row>
    <row r="16" spans="1:11" ht="15.75">
      <c r="A16" s="190"/>
      <c r="B16" s="190"/>
      <c r="C16" s="190"/>
      <c r="D16" s="323" t="str">
        <f>'County One Time Input-BASE'!B23</f>
        <v>LAW ENFORCEMENT SERVICES ACCOUNT</v>
      </c>
      <c r="E16" s="322">
        <f>'County One Time Input-BASE'!C23</f>
        <v>0.358025</v>
      </c>
      <c r="F16" s="190"/>
      <c r="I16" s="598"/>
      <c r="J16" s="187"/>
      <c r="K16" s="187"/>
    </row>
    <row r="17" spans="9:11" ht="15.75" customHeight="1" thickBot="1">
      <c r="I17" s="598"/>
      <c r="J17" s="187"/>
      <c r="K17" s="599"/>
    </row>
    <row r="18" spans="1:11" ht="60.75" thickBot="1">
      <c r="A18" s="6" t="s">
        <v>1</v>
      </c>
      <c r="B18" s="179" t="s">
        <v>2</v>
      </c>
      <c r="C18" s="169" t="s">
        <v>3</v>
      </c>
      <c r="D18" s="169" t="str">
        <f>CONCATENATE("State Receipts up to:","  ",D3)</f>
        <v>State Receipts up to:  OCTOBER</v>
      </c>
      <c r="E18" s="169" t="s">
        <v>4</v>
      </c>
      <c r="F18" s="170" t="s">
        <v>5</v>
      </c>
      <c r="G18" s="7" t="s">
        <v>93</v>
      </c>
      <c r="I18" s="186"/>
      <c r="J18" s="186"/>
      <c r="K18" s="186"/>
    </row>
    <row r="19" spans="1:11" ht="5.25" customHeight="1" thickBot="1">
      <c r="A19" s="178"/>
      <c r="B19" s="181"/>
      <c r="C19" s="182"/>
      <c r="D19" s="182"/>
      <c r="E19" s="182"/>
      <c r="F19" s="183"/>
      <c r="G19" s="141"/>
      <c r="I19" s="187"/>
      <c r="J19" s="187"/>
      <c r="K19" s="187"/>
    </row>
    <row r="20" spans="1:12" ht="15.75" customHeight="1">
      <c r="A20" s="127" t="str">
        <f>'County One Time Input-BASE'!A27</f>
        <v>TRIAL COURT SECURITY</v>
      </c>
      <c r="B20" s="180">
        <f>'County One Time Input-BASE'!B27</f>
        <v>492389993.479475</v>
      </c>
      <c r="C20" s="172">
        <f>'County One Time Input-BASE'!C27</f>
        <v>0.308105</v>
      </c>
      <c r="D20" s="173">
        <f>'Monthly Receipts Input'!D14</f>
        <v>77133188.52</v>
      </c>
      <c r="E20" s="174">
        <f>D$43*G20</f>
        <v>529505986.0472118</v>
      </c>
      <c r="F20" s="140">
        <f>+E20-B20</f>
        <v>37115992.567736804</v>
      </c>
      <c r="G20" s="318">
        <f>'County One Time Input-BASE'!D27</f>
        <v>0.11030929262922257</v>
      </c>
      <c r="I20" s="594"/>
      <c r="J20" s="600"/>
      <c r="K20" s="188"/>
      <c r="L20" s="344"/>
    </row>
    <row r="21" spans="1:12" ht="15">
      <c r="A21" s="127" t="str">
        <f>'County One Time Input-BASE'!A28</f>
        <v>COMMUNITY CORRECTIONS</v>
      </c>
      <c r="B21" s="180">
        <f>'County One Time Input-BASE'!B28</f>
        <v>990772951.9402</v>
      </c>
      <c r="C21" s="172">
        <f>'County One Time Input-BASE'!C28</f>
        <v>0.61996</v>
      </c>
      <c r="D21" s="9">
        <f>'Monthly Receipts Input'!D15</f>
        <v>155205178.61</v>
      </c>
      <c r="E21" s="10">
        <f>D$43*G21</f>
        <v>1065456682.331768</v>
      </c>
      <c r="F21" s="11">
        <f>+E21-B21</f>
        <v>74683730.39156806</v>
      </c>
      <c r="G21" s="319">
        <f>'County One Time Input-BASE'!D28</f>
        <v>0.2219611790084965</v>
      </c>
      <c r="I21" s="594"/>
      <c r="J21" s="600"/>
      <c r="K21" s="188"/>
      <c r="L21" s="344"/>
    </row>
    <row r="22" spans="1:12" ht="15">
      <c r="A22" s="127" t="str">
        <f>'County One Time Input-BASE'!A29</f>
        <v>DA &amp; PUBLIC DEFENDER</v>
      </c>
      <c r="B22" s="180">
        <f>'County One Time Input-BASE'!B29</f>
        <v>16960889.958935</v>
      </c>
      <c r="C22" s="172">
        <f>'County One Time Input-BASE'!C29</f>
        <v>0.010613</v>
      </c>
      <c r="D22" s="9">
        <f>'Monthly Receipts Input'!D16</f>
        <v>2656933.62</v>
      </c>
      <c r="E22" s="10">
        <f>D$43*G22</f>
        <v>18239389.266383406</v>
      </c>
      <c r="F22" s="11">
        <f>+E22-B22</f>
        <v>1278499.3074484058</v>
      </c>
      <c r="G22" s="319">
        <f>'County One Time Input-BASE'!D29</f>
        <v>0.0037997193251454505</v>
      </c>
      <c r="I22" s="594"/>
      <c r="J22" s="600"/>
      <c r="K22" s="188"/>
      <c r="L22" s="344"/>
    </row>
    <row r="23" spans="1:12" ht="15.75" thickBot="1">
      <c r="A23" s="127" t="str">
        <f>'County One Time Input-BASE'!A30</f>
        <v>JUVENILE JUSTICE</v>
      </c>
      <c r="B23" s="180">
        <f>'County One Time Input-BASE'!B30</f>
        <v>98000159.62139</v>
      </c>
      <c r="C23" s="172">
        <f>'County One Time Input-BASE'!C30</f>
        <v>0.061322</v>
      </c>
      <c r="D23" s="9">
        <f>'Monthly Receipts Input'!D17</f>
        <v>15351783.92</v>
      </c>
      <c r="E23" s="10">
        <f>D$43*G23</f>
        <v>105387338.97985141</v>
      </c>
      <c r="F23" s="11">
        <f>+E23-B23</f>
        <v>7387179.35846141</v>
      </c>
      <c r="G23" s="320">
        <f>'County One Time Input-BASE'!D30</f>
        <v>0.021954809050840414</v>
      </c>
      <c r="I23" s="594"/>
      <c r="J23" s="600"/>
      <c r="K23" s="188"/>
      <c r="L23" s="344"/>
    </row>
    <row r="24" spans="1:11" ht="15.75" thickBot="1">
      <c r="A24" s="49" t="s">
        <v>41</v>
      </c>
      <c r="B24" s="217">
        <f aca="true" t="shared" si="1" ref="B24:G24">SUM(B20:B23)</f>
        <v>1598123995</v>
      </c>
      <c r="C24" s="326">
        <f t="shared" si="1"/>
        <v>0.9999999999999999</v>
      </c>
      <c r="D24" s="327">
        <f t="shared" si="1"/>
        <v>250347084.67</v>
      </c>
      <c r="E24" s="328">
        <f t="shared" si="1"/>
        <v>1718589396.6252148</v>
      </c>
      <c r="F24" s="329">
        <f t="shared" si="1"/>
        <v>120465401.62521468</v>
      </c>
      <c r="G24" s="201">
        <f t="shared" si="1"/>
        <v>0.3580250000137049</v>
      </c>
      <c r="I24" s="596"/>
      <c r="J24" s="601"/>
      <c r="K24" s="189"/>
    </row>
    <row r="25" spans="9:11" ht="15">
      <c r="I25" s="187"/>
      <c r="J25" s="187"/>
      <c r="K25" s="187"/>
    </row>
    <row r="26" ht="15.75" thickBot="1">
      <c r="D26" s="135"/>
    </row>
    <row r="27" spans="1:12" ht="15.75" thickBot="1">
      <c r="A27" s="137" t="s">
        <v>89</v>
      </c>
      <c r="B27" s="330">
        <f>+B12+B24</f>
        <v>4463721793</v>
      </c>
      <c r="C27" s="331"/>
      <c r="D27" s="330">
        <f>+D12+D24</f>
        <v>699244702.6500001</v>
      </c>
      <c r="E27" s="332">
        <f>+E12+E24</f>
        <v>4800193831.602342</v>
      </c>
      <c r="F27" s="333">
        <f>+F12+F24</f>
        <v>336472038.60234165</v>
      </c>
      <c r="G27" s="334">
        <f>+G12+G24</f>
        <v>1</v>
      </c>
      <c r="H27" s="135"/>
      <c r="L27" s="345"/>
    </row>
    <row r="28" ht="15">
      <c r="H28" s="14"/>
    </row>
    <row r="29" spans="1:2" ht="15">
      <c r="A29" s="2" t="s">
        <v>180</v>
      </c>
      <c r="B29" s="15">
        <f>HLOOKUP(D3,'Monthly Receipts Input'!D3:P27,25,FALSE)</f>
        <v>0.14567009732950448</v>
      </c>
    </row>
    <row r="30" spans="2:5" ht="60">
      <c r="B30" s="15" t="s">
        <v>111</v>
      </c>
      <c r="C30" s="16" t="s">
        <v>6</v>
      </c>
      <c r="D30" s="17" t="s">
        <v>4</v>
      </c>
      <c r="E30" s="16" t="s">
        <v>5</v>
      </c>
    </row>
    <row r="31" spans="1:5" ht="15">
      <c r="A31" t="s">
        <v>7</v>
      </c>
      <c r="B31" s="18">
        <v>0.07334144711423515</v>
      </c>
      <c r="C31" s="19">
        <f>SUM(+$B$27)*B31</f>
        <v>327375815.8139684</v>
      </c>
      <c r="D31" s="19">
        <f aca="true" t="shared" si="2" ref="D31:D42">+B31*D$43</f>
        <v>352053162.03854096</v>
      </c>
      <c r="E31" s="19">
        <f aca="true" t="shared" si="3" ref="E31:E42">D31-C31</f>
        <v>24677346.22457254</v>
      </c>
    </row>
    <row r="32" spans="1:5" ht="15">
      <c r="A32" t="s">
        <v>8</v>
      </c>
      <c r="B32" s="18">
        <v>0.07232865021526932</v>
      </c>
      <c r="C32" s="19">
        <f aca="true" t="shared" si="4" ref="C32:C42">SUM(+$B$27)*B32</f>
        <v>322854972.2241718</v>
      </c>
      <c r="D32" s="19">
        <f t="shared" si="2"/>
        <v>347191540.6114592</v>
      </c>
      <c r="E32" s="19">
        <f t="shared" si="3"/>
        <v>24336568.38728738</v>
      </c>
    </row>
    <row r="33" spans="1:5" ht="15">
      <c r="A33" t="s">
        <v>9</v>
      </c>
      <c r="B33" s="18">
        <v>0.08702955771671084</v>
      </c>
      <c r="C33" s="19">
        <f t="shared" si="4"/>
        <v>388475733.4152335</v>
      </c>
      <c r="D33" s="19">
        <f t="shared" si="2"/>
        <v>417758746.11883533</v>
      </c>
      <c r="E33" s="19">
        <f t="shared" si="3"/>
        <v>29283012.703601837</v>
      </c>
    </row>
    <row r="34" spans="1:5" ht="15">
      <c r="A34" t="s">
        <v>10</v>
      </c>
      <c r="B34" s="18">
        <v>0.07130072150344567</v>
      </c>
      <c r="C34" s="19">
        <f t="shared" si="4"/>
        <v>318266584.4315542</v>
      </c>
      <c r="D34" s="19">
        <f t="shared" si="2"/>
        <v>342257283.54963636</v>
      </c>
      <c r="E34" s="19">
        <f t="shared" si="3"/>
        <v>23990699.118082166</v>
      </c>
    </row>
    <row r="35" spans="1:5" ht="15">
      <c r="A35" t="s">
        <v>11</v>
      </c>
      <c r="B35" s="18">
        <v>0.06993419299845241</v>
      </c>
      <c r="C35" s="19">
        <f t="shared" si="4"/>
        <v>312166781.36306006</v>
      </c>
      <c r="D35" s="19">
        <f t="shared" si="2"/>
        <v>335697681.8492589</v>
      </c>
      <c r="E35" s="19">
        <f t="shared" si="3"/>
        <v>23530900.486198843</v>
      </c>
    </row>
    <row r="36" spans="1:5" ht="15">
      <c r="A36" t="s">
        <v>12</v>
      </c>
      <c r="B36" s="18">
        <v>0.10707747488759597</v>
      </c>
      <c r="C36" s="19">
        <f t="shared" si="4"/>
        <v>477964058.19517237</v>
      </c>
      <c r="D36" s="19">
        <f t="shared" si="2"/>
        <v>513992634.45899284</v>
      </c>
      <c r="E36" s="19">
        <f t="shared" si="3"/>
        <v>36028576.26382047</v>
      </c>
    </row>
    <row r="37" spans="1:5" ht="15">
      <c r="A37" t="s">
        <v>13</v>
      </c>
      <c r="B37" s="18">
        <v>0.09422982037333755</v>
      </c>
      <c r="C37" s="19">
        <f t="shared" si="4"/>
        <v>420615702.75094223</v>
      </c>
      <c r="D37" s="19">
        <f t="shared" si="2"/>
        <v>452321402.50909156</v>
      </c>
      <c r="E37" s="19">
        <f t="shared" si="3"/>
        <v>31705699.758149326</v>
      </c>
    </row>
    <row r="38" spans="1:5" ht="15">
      <c r="A38" t="s">
        <v>14</v>
      </c>
      <c r="B38" s="18">
        <v>0.07005544955883031</v>
      </c>
      <c r="C38" s="19">
        <f t="shared" si="4"/>
        <v>312708036.91416305</v>
      </c>
      <c r="D38" s="19">
        <f t="shared" si="2"/>
        <v>336279736.84242624</v>
      </c>
      <c r="E38" s="19">
        <f t="shared" si="3"/>
        <v>23571699.928263187</v>
      </c>
    </row>
    <row r="39" spans="1:5" ht="15">
      <c r="A39" t="s">
        <v>15</v>
      </c>
      <c r="B39" s="18">
        <v>0.09535096418667911</v>
      </c>
      <c r="C39" s="19">
        <f t="shared" si="4"/>
        <v>425620176.8236421</v>
      </c>
      <c r="D39" s="19">
        <f t="shared" si="2"/>
        <v>457703110.12623286</v>
      </c>
      <c r="E39" s="19">
        <f t="shared" si="3"/>
        <v>32082933.302590787</v>
      </c>
    </row>
    <row r="40" spans="1:5" ht="15">
      <c r="A40" t="s">
        <v>16</v>
      </c>
      <c r="B40" s="18">
        <v>0.08086568210915575</v>
      </c>
      <c r="C40" s="19">
        <f t="shared" si="4"/>
        <v>360961907.5364487</v>
      </c>
      <c r="D40" s="19">
        <f t="shared" si="2"/>
        <v>388170948.4486853</v>
      </c>
      <c r="E40" s="19">
        <f t="shared" si="3"/>
        <v>27209040.91223657</v>
      </c>
    </row>
    <row r="41" spans="1:5" ht="15">
      <c r="A41" t="s">
        <v>17</v>
      </c>
      <c r="B41" s="18">
        <v>0.09566733082798996</v>
      </c>
      <c r="C41" s="19">
        <f t="shared" si="4"/>
        <v>427032349.4950395</v>
      </c>
      <c r="D41" s="19">
        <f t="shared" si="2"/>
        <v>459221731.326378</v>
      </c>
      <c r="E41" s="19">
        <f t="shared" si="3"/>
        <v>32189381.831338465</v>
      </c>
    </row>
    <row r="42" spans="1:5" ht="15">
      <c r="A42" t="s">
        <v>18</v>
      </c>
      <c r="B42" s="20">
        <v>0.08281870850829788</v>
      </c>
      <c r="C42" s="19">
        <f t="shared" si="4"/>
        <v>369679674.03660375</v>
      </c>
      <c r="D42" s="19">
        <f t="shared" si="2"/>
        <v>397545853.72280383</v>
      </c>
      <c r="E42" s="19">
        <f t="shared" si="3"/>
        <v>27866179.686200082</v>
      </c>
    </row>
    <row r="43" spans="2:6" ht="15">
      <c r="B43" s="21">
        <f>SUM(B31:B42)</f>
        <v>1</v>
      </c>
      <c r="C43" s="22">
        <f>SUM(C31:C42)</f>
        <v>4463721792.999999</v>
      </c>
      <c r="D43" s="22">
        <f>SUM(+D27)/B29</f>
        <v>4800193831.602342</v>
      </c>
      <c r="E43" s="22">
        <f>SUM(E31:E42)</f>
        <v>336472038.60234165</v>
      </c>
      <c r="F43" s="354"/>
    </row>
    <row r="45" ht="15">
      <c r="E45" s="355"/>
    </row>
    <row r="46" ht="15">
      <c r="E46" s="355"/>
    </row>
    <row r="47" ht="15">
      <c r="C47" s="356"/>
    </row>
  </sheetData>
  <sheetProtection/>
  <mergeCells count="1">
    <mergeCell ref="A1:K1"/>
  </mergeCells>
  <hyperlinks>
    <hyperlink ref="A9" r:id="rId1" display="http://www.sco.ca.gov/ard_payments_lrf_recon.html"/>
    <hyperlink ref="A20" r:id="rId2" display="http://www.sco.ca.gov/ard_payments_lrf_recon.html"/>
    <hyperlink ref="A10:A11" r:id="rId3" display="http://www.sco.ca.gov/ard_payments_lrf_recon.html"/>
    <hyperlink ref="A21:A23" r:id="rId4" display="http://www.sco.ca.gov/ard_payments_lrf_recon.html"/>
  </hyperlinks>
  <printOptions/>
  <pageMargins left="0.7" right="0.7" top="0.75" bottom="0.75" header="0.3" footer="0.3"/>
  <pageSetup fitToHeight="1" fitToWidth="1" horizontalDpi="600" verticalDpi="600" orientation="landscape" scale="66" r:id="rId5"/>
  <headerFooter alignWithMargins="0">
    <oddHeader>&amp;C&amp;"Calibri,Bold"&amp;14&amp;A</oddHeader>
    <oddFooter>&amp;L&amp;Z&amp;F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37"/>
  <sheetViews>
    <sheetView workbookViewId="0" topLeftCell="A1">
      <selection activeCell="J35" sqref="J35"/>
    </sheetView>
  </sheetViews>
  <sheetFormatPr defaultColWidth="9.140625" defaultRowHeight="15" outlineLevelRow="1"/>
  <cols>
    <col min="1" max="1" width="27.57421875" style="2" customWidth="1"/>
    <col min="2" max="2" width="15.28125" style="2" bestFit="1" customWidth="1"/>
    <col min="3" max="4" width="15.00390625" style="2" customWidth="1"/>
    <col min="5" max="5" width="5.140625" style="2" customWidth="1"/>
    <col min="6" max="6" width="18.00390625" style="2" customWidth="1"/>
    <col min="7" max="7" width="15.7109375" style="2" customWidth="1"/>
    <col min="8" max="8" width="15.8515625" style="2" customWidth="1"/>
    <col min="9" max="16384" width="9.140625" style="2" customWidth="1"/>
  </cols>
  <sheetData>
    <row r="1" spans="1:4" ht="15.75" customHeight="1" thickBot="1">
      <c r="A1" s="190"/>
      <c r="B1" s="190" t="s">
        <v>100</v>
      </c>
      <c r="C1" s="489" t="str">
        <f>'County One Time Input-BASE'!C1</f>
        <v>2013-14</v>
      </c>
      <c r="D1" s="197"/>
    </row>
    <row r="2" spans="1:5" ht="16.5" thickBot="1">
      <c r="A2" s="1"/>
      <c r="B2" s="191" t="s">
        <v>97</v>
      </c>
      <c r="C2" s="490" t="str">
        <f>'County One Time Input-BASE'!C2</f>
        <v>San Mateo</v>
      </c>
      <c r="D2" s="198" t="s">
        <v>286</v>
      </c>
      <c r="E2" s="187"/>
    </row>
    <row r="3" spans="1:4" ht="16.5" thickBot="1">
      <c r="A3" s="1"/>
      <c r="B3" s="593" t="s">
        <v>287</v>
      </c>
      <c r="C3" s="387">
        <f>IF(D3&lt;&gt;0,D3,'Statewide Forecast Model'!E43)</f>
        <v>336472038.60234165</v>
      </c>
      <c r="D3" s="592"/>
    </row>
    <row r="4" spans="1:7" ht="15" customHeight="1">
      <c r="A4" s="677" t="s">
        <v>247</v>
      </c>
      <c r="B4" s="677"/>
      <c r="C4" s="677"/>
      <c r="D4" s="677"/>
      <c r="E4" s="677"/>
      <c r="F4" s="677"/>
      <c r="G4" s="677"/>
    </row>
    <row r="5" spans="1:7" ht="15.75" thickBot="1">
      <c r="A5" s="677"/>
      <c r="B5" s="677"/>
      <c r="C5" s="677"/>
      <c r="D5" s="677"/>
      <c r="E5" s="677"/>
      <c r="F5" s="677"/>
      <c r="G5" s="677"/>
    </row>
    <row r="6" spans="2:6" ht="15.75" customHeight="1" thickBot="1">
      <c r="B6" s="3" t="s">
        <v>98</v>
      </c>
      <c r="C6" s="388">
        <v>0.65</v>
      </c>
      <c r="D6" s="389">
        <f>C3*C6</f>
        <v>218706825.09152207</v>
      </c>
      <c r="F6" s="153"/>
    </row>
    <row r="7" spans="2:6" ht="16.5" thickBot="1">
      <c r="B7" s="5"/>
      <c r="F7" s="153"/>
    </row>
    <row r="8" spans="1:8" ht="90.75" thickBot="1">
      <c r="A8" s="221" t="s">
        <v>1</v>
      </c>
      <c r="B8" s="168" t="s">
        <v>241</v>
      </c>
      <c r="C8" s="170" t="s">
        <v>174</v>
      </c>
      <c r="D8" s="222" t="s">
        <v>242</v>
      </c>
      <c r="F8" s="251" t="str">
        <f>CONCATENATE(C2," ","County Portion (% Of Growth per DOF &amp; BH Spreadsheet")</f>
        <v>San Mateo County Portion (% Of Growth per DOF &amp; BH Spreadsheet</v>
      </c>
      <c r="G8" s="252" t="str">
        <f>CONCATENATE(C2," ","County Portion of Growth")</f>
        <v>San Mateo County Portion of Growth</v>
      </c>
      <c r="H8" s="186"/>
    </row>
    <row r="9" spans="1:8" ht="6.75" customHeight="1" thickBot="1">
      <c r="A9" s="167"/>
      <c r="B9" s="397"/>
      <c r="C9" s="397"/>
      <c r="D9" s="224"/>
      <c r="F9" s="163"/>
      <c r="G9" s="164"/>
      <c r="H9" s="187"/>
    </row>
    <row r="10" spans="1:8" ht="30">
      <c r="A10" s="392" t="s">
        <v>168</v>
      </c>
      <c r="B10" s="400">
        <f>D$6*C10</f>
        <v>47699958.55246096</v>
      </c>
      <c r="C10" s="395">
        <v>0.2181</v>
      </c>
      <c r="D10" s="338">
        <f>B10/C$3</f>
        <v>0.141765</v>
      </c>
      <c r="F10" s="483">
        <f>SUM(SUMIF(A73:A132,C2,B73:B131)*0.9)+SUM(SUMIF(A73:A132,C2,F73:F131)*0.1)</f>
        <v>0.010217052</v>
      </c>
      <c r="G10" s="248">
        <f>B10*F10</f>
        <v>487352.9569283384</v>
      </c>
      <c r="H10" s="188"/>
    </row>
    <row r="11" spans="1:8" ht="15" outlineLevel="1">
      <c r="A11" s="606" t="s">
        <v>292</v>
      </c>
      <c r="B11" s="607">
        <f>B10*0.9</f>
        <v>42929962.697214864</v>
      </c>
      <c r="C11" s="415"/>
      <c r="D11" s="338"/>
      <c r="F11" s="604">
        <f>SUMIF(A73:A132,C$2,B73:B132)</f>
        <v>0.00993017</v>
      </c>
      <c r="G11" s="605">
        <f>B11*F11</f>
        <v>426301.8276770021</v>
      </c>
      <c r="H11" s="188"/>
    </row>
    <row r="12" spans="1:8" ht="15" outlineLevel="1">
      <c r="A12" s="606" t="s">
        <v>293</v>
      </c>
      <c r="B12" s="607">
        <f>B10*0.1</f>
        <v>4769995.855246096</v>
      </c>
      <c r="C12" s="415"/>
      <c r="D12" s="338"/>
      <c r="F12" s="604">
        <f>SUMIF(A73:A132,C$2,F73:F132)</f>
        <v>0.01279899</v>
      </c>
      <c r="G12" s="605">
        <f>B12*F12</f>
        <v>61051.12925133623</v>
      </c>
      <c r="H12" s="633"/>
    </row>
    <row r="13" spans="1:8" ht="45">
      <c r="A13" s="392" t="s">
        <v>299</v>
      </c>
      <c r="B13" s="401">
        <f>D$6*C13</f>
        <v>87482730.03660883</v>
      </c>
      <c r="C13" s="396">
        <v>0.4</v>
      </c>
      <c r="D13" s="338">
        <f>B13/C$3</f>
        <v>0.26</v>
      </c>
      <c r="F13" s="483">
        <v>0.01194499997612497</v>
      </c>
      <c r="G13" s="248">
        <f>B13*F13</f>
        <v>1044981.2081986397</v>
      </c>
      <c r="H13" s="188"/>
    </row>
    <row r="14" spans="1:8" ht="30">
      <c r="A14" s="392" t="s">
        <v>169</v>
      </c>
      <c r="B14" s="401">
        <f>D$6*C14</f>
        <v>72588795.24787617</v>
      </c>
      <c r="C14" s="396">
        <v>0.3319</v>
      </c>
      <c r="D14" s="338">
        <f>B14/C$3</f>
        <v>0.21573499999999998</v>
      </c>
      <c r="F14" s="484">
        <f>SUMIF(A148:A207,C$2,F148:F207)</f>
        <v>0.008039011364921843</v>
      </c>
      <c r="G14" s="248">
        <f>B14*F14</f>
        <v>583542.1499636612</v>
      </c>
      <c r="H14" s="188"/>
    </row>
    <row r="15" spans="1:8" ht="30.75" thickBot="1">
      <c r="A15" s="409" t="s">
        <v>175</v>
      </c>
      <c r="B15" s="407">
        <f>D$6*C15</f>
        <v>10935341.254576104</v>
      </c>
      <c r="C15" s="408">
        <v>0.05</v>
      </c>
      <c r="D15" s="338">
        <f>B15/C$3</f>
        <v>0.0325</v>
      </c>
      <c r="F15" s="264"/>
      <c r="G15" s="499"/>
      <c r="H15" s="188"/>
    </row>
    <row r="16" spans="1:8" ht="30.75" thickBot="1">
      <c r="A16" s="390" t="s">
        <v>176</v>
      </c>
      <c r="B16" s="398">
        <f>SUM(B10+B13+B14)</f>
        <v>207771483.83694595</v>
      </c>
      <c r="C16" s="399">
        <f>SUM(C10:C14)</f>
        <v>0.95</v>
      </c>
      <c r="D16" s="339">
        <f>SUM(D10:D15)</f>
        <v>0.65</v>
      </c>
      <c r="F16" s="336"/>
      <c r="G16" s="337">
        <f>SUM(G10+G13+G14)</f>
        <v>2115876.315090639</v>
      </c>
      <c r="H16" s="189"/>
    </row>
    <row r="17" ht="15"/>
    <row r="18" ht="15.75" thickBot="1"/>
    <row r="19" spans="2:6" ht="15.75" customHeight="1" thickBot="1">
      <c r="B19" s="3" t="s">
        <v>99</v>
      </c>
      <c r="C19" s="388">
        <v>0.35</v>
      </c>
      <c r="D19" s="389">
        <f>C3*C19</f>
        <v>117765213.51081957</v>
      </c>
      <c r="F19" s="586" t="s">
        <v>273</v>
      </c>
    </row>
    <row r="20" ht="15.75" customHeight="1" thickBot="1">
      <c r="F20" s="153"/>
    </row>
    <row r="21" spans="1:8" ht="60.75" thickBot="1">
      <c r="A21" s="221" t="s">
        <v>1</v>
      </c>
      <c r="B21" s="168" t="s">
        <v>241</v>
      </c>
      <c r="C21" s="170" t="s">
        <v>174</v>
      </c>
      <c r="D21" s="222" t="s">
        <v>242</v>
      </c>
      <c r="E21" s="15"/>
      <c r="F21" s="251" t="str">
        <f>CONCATENATE(C2," ","County Portion (% of Allocation)")</f>
        <v>San Mateo County Portion (% of Allocation)</v>
      </c>
      <c r="G21" s="252" t="str">
        <f>CONCATENATE(C2," ","County Portion of Growth")</f>
        <v>San Mateo County Portion of Growth</v>
      </c>
      <c r="H21" s="186"/>
    </row>
    <row r="22" spans="1:8" ht="5.25" customHeight="1" thickBot="1">
      <c r="A22" s="178"/>
      <c r="B22" s="182"/>
      <c r="C22" s="182"/>
      <c r="D22" s="223"/>
      <c r="F22" s="165"/>
      <c r="G22" s="166"/>
      <c r="H22" s="187"/>
    </row>
    <row r="23" spans="1:8" ht="30">
      <c r="A23" s="402" t="s">
        <v>170</v>
      </c>
      <c r="B23" s="403">
        <f>D$19*C23</f>
        <v>11776521.351081958</v>
      </c>
      <c r="C23" s="393">
        <v>0.1</v>
      </c>
      <c r="D23" s="338">
        <f>B23/C$3</f>
        <v>0.035</v>
      </c>
      <c r="F23" s="485">
        <f>SUMIF($A$224:$A$283,$C$2,B$224:B$283)</f>
        <v>0</v>
      </c>
      <c r="G23" s="195">
        <f aca="true" t="shared" si="0" ref="G23:G28">B23*F23</f>
        <v>0</v>
      </c>
      <c r="H23" s="187"/>
    </row>
    <row r="24" spans="1:8" ht="45">
      <c r="A24" s="402" t="s">
        <v>171</v>
      </c>
      <c r="B24" s="404">
        <f>D$19*C24</f>
        <v>88323910.13311468</v>
      </c>
      <c r="C24" s="394">
        <v>0.75</v>
      </c>
      <c r="D24" s="338">
        <f>B24/C$3</f>
        <v>0.2625</v>
      </c>
      <c r="F24" s="486">
        <f>SUMIF($A$224:$A$283,$C$2,F$224:F$283)</f>
        <v>0</v>
      </c>
      <c r="G24" s="196">
        <f t="shared" si="0"/>
        <v>0</v>
      </c>
      <c r="H24" s="187"/>
    </row>
    <row r="25" spans="1:8" ht="30">
      <c r="A25" s="402" t="s">
        <v>172</v>
      </c>
      <c r="B25" s="404">
        <f>D$19*C25</f>
        <v>5888260.675540979</v>
      </c>
      <c r="C25" s="394">
        <v>0.05</v>
      </c>
      <c r="D25" s="338">
        <f>B25/C$3</f>
        <v>0.0175</v>
      </c>
      <c r="F25" s="486">
        <f>SUMIF($A$301:$A$360,$C$2,B$301:B$360)</f>
        <v>0</v>
      </c>
      <c r="G25" s="196">
        <f t="shared" si="0"/>
        <v>0</v>
      </c>
      <c r="H25" s="187"/>
    </row>
    <row r="26" spans="1:8" ht="30">
      <c r="A26" s="402" t="s">
        <v>173</v>
      </c>
      <c r="B26" s="404">
        <f>D$19*C26</f>
        <v>11776521.351081958</v>
      </c>
      <c r="C26" s="394">
        <v>0.1</v>
      </c>
      <c r="D26" s="338">
        <f>B26/C$3</f>
        <v>0.035</v>
      </c>
      <c r="F26" s="487">
        <f>SUMIF($A$301:$A$360,$C$2,F$301:F$360)</f>
        <v>0</v>
      </c>
      <c r="G26" s="335">
        <f>G27+G28</f>
        <v>0</v>
      </c>
      <c r="H26" s="187"/>
    </row>
    <row r="27" spans="1:8" ht="15" outlineLevel="1">
      <c r="A27" s="413" t="s">
        <v>160</v>
      </c>
      <c r="B27" s="414">
        <f>B26*C27</f>
        <v>11126575.137715746</v>
      </c>
      <c r="C27" s="415">
        <v>0.94481</v>
      </c>
      <c r="D27" s="340"/>
      <c r="E27" s="416"/>
      <c r="F27" s="488">
        <f>SUMIF($A$378:$A$437,$C$2,B$378:B$437)</f>
        <v>0</v>
      </c>
      <c r="G27" s="410">
        <f t="shared" si="0"/>
        <v>0</v>
      </c>
      <c r="H27" s="418"/>
    </row>
    <row r="28" spans="1:8" ht="15.75" outlineLevel="1" thickBot="1">
      <c r="A28" s="413" t="s">
        <v>161</v>
      </c>
      <c r="B28" s="414">
        <f>B26*C28</f>
        <v>649946.2133662133</v>
      </c>
      <c r="C28" s="415">
        <v>0.05519</v>
      </c>
      <c r="D28" s="340"/>
      <c r="E28" s="416"/>
      <c r="F28" s="488">
        <f>SUMIF($A$378:$A$437,$C$2,F$378:F$437)</f>
        <v>0</v>
      </c>
      <c r="G28" s="410">
        <f t="shared" si="0"/>
        <v>0</v>
      </c>
      <c r="H28" s="187"/>
    </row>
    <row r="29" spans="1:8" ht="15.75" thickBot="1">
      <c r="A29" s="390" t="s">
        <v>41</v>
      </c>
      <c r="B29" s="391">
        <f>SUM(B23:B26)</f>
        <v>117765213.51081957</v>
      </c>
      <c r="C29" s="341">
        <f>SUM(C23:C26)</f>
        <v>1</v>
      </c>
      <c r="D29" s="339">
        <f>SUM(D23:D26)</f>
        <v>0.35</v>
      </c>
      <c r="F29" s="336"/>
      <c r="G29" s="337">
        <f>SUM(G23:G26)</f>
        <v>0</v>
      </c>
      <c r="H29" s="187"/>
    </row>
    <row r="30" ht="15.75" thickBot="1">
      <c r="H30" s="187"/>
    </row>
    <row r="31" spans="1:8" ht="45.75" thickBot="1">
      <c r="A31" s="137" t="s">
        <v>177</v>
      </c>
      <c r="B31" s="138">
        <f>+B16+B29</f>
        <v>325536697.3477655</v>
      </c>
      <c r="C31" s="139"/>
      <c r="D31" s="202">
        <f>D16+D29</f>
        <v>1</v>
      </c>
      <c r="H31" s="187"/>
    </row>
    <row r="32" ht="15"/>
    <row r="33" spans="1:7" ht="15.75">
      <c r="A33" s="678" t="s">
        <v>144</v>
      </c>
      <c r="B33" s="678"/>
      <c r="C33" s="678"/>
      <c r="D33" s="678"/>
      <c r="E33" s="678"/>
      <c r="F33" s="678"/>
      <c r="G33" s="678"/>
    </row>
    <row r="34" spans="1:7" ht="15">
      <c r="A34" s="677" t="s">
        <v>246</v>
      </c>
      <c r="B34" s="677"/>
      <c r="C34" s="677"/>
      <c r="D34" s="677"/>
      <c r="E34" s="677"/>
      <c r="F34" s="677"/>
      <c r="G34" s="677"/>
    </row>
    <row r="35" spans="1:7" ht="15">
      <c r="A35"/>
      <c r="B35" s="23" t="s">
        <v>294</v>
      </c>
      <c r="C35" s="40">
        <f>B10*0.9</f>
        <v>42929962.697214864</v>
      </c>
      <c r="F35" s="23" t="s">
        <v>296</v>
      </c>
      <c r="G35" s="149">
        <f>+G11</f>
        <v>426301.8276770021</v>
      </c>
    </row>
    <row r="36" spans="1:7" ht="15">
      <c r="A36"/>
      <c r="B36" s="23" t="s">
        <v>295</v>
      </c>
      <c r="C36" s="40">
        <f>B10*0.1</f>
        <v>4769995.855246096</v>
      </c>
      <c r="F36" s="23" t="s">
        <v>297</v>
      </c>
      <c r="G36" s="149">
        <f>+G12</f>
        <v>61051.12925133623</v>
      </c>
    </row>
    <row r="37" spans="2:7" ht="15.75" thickBot="1">
      <c r="B37" s="2" t="s">
        <v>243</v>
      </c>
      <c r="C37" s="14">
        <f>B13</f>
        <v>87482730.03660883</v>
      </c>
      <c r="F37" s="2" t="s">
        <v>243</v>
      </c>
      <c r="G37" s="149">
        <f>G13</f>
        <v>1044981.2081986397</v>
      </c>
    </row>
    <row r="38" spans="1:7" ht="90.75" thickBot="1">
      <c r="A38" s="253" t="s">
        <v>37</v>
      </c>
      <c r="B38" s="254" t="s">
        <v>159</v>
      </c>
      <c r="C38" s="255" t="s">
        <v>39</v>
      </c>
      <c r="D38" s="15"/>
      <c r="E38" s="15"/>
      <c r="F38" s="250" t="str">
        <f>CONCATENATE(C2," County % Distribution ")</f>
        <v>San Mateo County % Distribution </v>
      </c>
      <c r="G38" s="249" t="str">
        <f>CONCATENATE(C2," County Portion (Distribution to Programs)")</f>
        <v>San Mateo County Portion (Distribution to Programs)</v>
      </c>
    </row>
    <row r="39" spans="1:7" ht="5.25" customHeight="1" thickBot="1">
      <c r="A39" s="210"/>
      <c r="B39" s="211"/>
      <c r="C39" s="204"/>
      <c r="F39" s="203"/>
      <c r="G39" s="204"/>
    </row>
    <row r="40" spans="1:7" ht="15">
      <c r="A40" s="212" t="s">
        <v>32</v>
      </c>
      <c r="B40" s="265">
        <v>0.23439625260479305</v>
      </c>
      <c r="C40" s="213">
        <f>C$35*B40</f>
        <v>10062622.380690718</v>
      </c>
      <c r="F40" s="268">
        <v>0.1418001943</v>
      </c>
      <c r="G40" s="213">
        <f>G$35*F40</f>
        <v>60449.68199504401</v>
      </c>
    </row>
    <row r="41" spans="1:7" ht="15">
      <c r="A41" s="206" t="s">
        <v>33</v>
      </c>
      <c r="B41" s="266">
        <v>0.24065768645080035</v>
      </c>
      <c r="C41" s="207">
        <f aca="true" t="shared" si="1" ref="C41:C47">C$35*B41</f>
        <v>10331425.50213089</v>
      </c>
      <c r="F41" s="269">
        <v>0.1676692953</v>
      </c>
      <c r="G41" s="207">
        <f aca="true" t="shared" si="2" ref="G41:G47">G$35*F41</f>
        <v>71477.72703170498</v>
      </c>
    </row>
    <row r="42" spans="1:7" ht="15">
      <c r="A42" s="206" t="s">
        <v>34</v>
      </c>
      <c r="B42" s="266">
        <v>0.03501733265201325</v>
      </c>
      <c r="C42" s="207">
        <f t="shared" si="1"/>
        <v>1503292.7845068928</v>
      </c>
      <c r="F42" s="269">
        <v>0.0708449138</v>
      </c>
      <c r="G42" s="207">
        <f t="shared" si="2"/>
        <v>30201.316234559672</v>
      </c>
    </row>
    <row r="43" spans="1:7" ht="15">
      <c r="A43" s="206" t="s">
        <v>35</v>
      </c>
      <c r="B43" s="266">
        <v>0.008317508117231767</v>
      </c>
      <c r="C43" s="207">
        <f t="shared" si="1"/>
        <v>357070.3132065416</v>
      </c>
      <c r="F43" s="269">
        <v>0.012561492</v>
      </c>
      <c r="G43" s="207">
        <f t="shared" si="2"/>
        <v>5354.986997950041</v>
      </c>
    </row>
    <row r="44" spans="1:7" ht="15">
      <c r="A44" s="206" t="s">
        <v>30</v>
      </c>
      <c r="B44" s="266">
        <v>0.03388041781004986</v>
      </c>
      <c r="C44" s="207">
        <f t="shared" si="1"/>
        <v>1454485.0727514944</v>
      </c>
      <c r="F44" s="269">
        <v>0.0696125575</v>
      </c>
      <c r="G44" s="207">
        <f t="shared" si="2"/>
        <v>29675.960491520404</v>
      </c>
    </row>
    <row r="45" spans="1:7" ht="15">
      <c r="A45" s="206" t="s">
        <v>36</v>
      </c>
      <c r="B45" s="266">
        <v>0.412635955148062</v>
      </c>
      <c r="C45" s="207">
        <f>SUM(C$35*B45)+C37+C36</f>
        <v>109967172.05389085</v>
      </c>
      <c r="F45" s="269">
        <v>0.4963718089</v>
      </c>
      <c r="G45" s="207">
        <f>SUM(G$35*F45)+G37+G36</f>
        <v>1317636.5467913854</v>
      </c>
    </row>
    <row r="46" spans="1:7" ht="15">
      <c r="A46" s="206" t="s">
        <v>28</v>
      </c>
      <c r="B46" s="266">
        <v>0.011292437660975426</v>
      </c>
      <c r="C46" s="207">
        <f t="shared" si="1"/>
        <v>484783.9275462993</v>
      </c>
      <c r="F46" s="269">
        <v>0.0118243794</v>
      </c>
      <c r="G46" s="207">
        <f t="shared" si="2"/>
        <v>5040.754549366294</v>
      </c>
    </row>
    <row r="47" spans="1:7" ht="15">
      <c r="A47" s="208" t="s">
        <v>29</v>
      </c>
      <c r="B47" s="266">
        <v>0.02380240955607418</v>
      </c>
      <c r="C47" s="207">
        <f t="shared" si="1"/>
        <v>1021836.5543460952</v>
      </c>
      <c r="F47" s="269">
        <v>0.0293153588</v>
      </c>
      <c r="G47" s="207">
        <f t="shared" si="2"/>
        <v>12497.191035447087</v>
      </c>
    </row>
    <row r="48" spans="1:7" ht="15">
      <c r="A48" s="206" t="s">
        <v>31</v>
      </c>
      <c r="B48" s="266">
        <v>0</v>
      </c>
      <c r="C48" s="207">
        <f>ROUND(C$35*B48,0)</f>
        <v>0</v>
      </c>
      <c r="F48" s="269">
        <v>0</v>
      </c>
      <c r="G48" s="207">
        <f>ROUND(G$35*F48,0)</f>
        <v>0</v>
      </c>
    </row>
    <row r="49" spans="1:7" ht="15.75" thickBot="1">
      <c r="A49" s="378"/>
      <c r="B49" s="267"/>
      <c r="C49" s="209">
        <f>ROUND(C$35*B49,0)</f>
        <v>0</v>
      </c>
      <c r="F49" s="375">
        <v>0</v>
      </c>
      <c r="G49" s="209">
        <f>ROUND(G$35*F49,0)</f>
        <v>0</v>
      </c>
    </row>
    <row r="50" spans="1:7" ht="30.75" thickBot="1">
      <c r="A50" s="218" t="s">
        <v>102</v>
      </c>
      <c r="B50" s="237">
        <f>SUM(B40:B49)</f>
        <v>1</v>
      </c>
      <c r="C50" s="220">
        <f>SUM(C40:C49)</f>
        <v>135182688.58906978</v>
      </c>
      <c r="F50" s="205">
        <f>SUM(F40:F48)</f>
        <v>1</v>
      </c>
      <c r="G50" s="220">
        <f>SUM(G40:G48)</f>
        <v>1532334.165126978</v>
      </c>
    </row>
    <row r="51" ht="15"/>
    <row r="52" ht="15"/>
    <row r="53" spans="1:7" ht="30">
      <c r="A53" t="s">
        <v>43</v>
      </c>
      <c r="B53"/>
      <c r="C53" s="40">
        <f>B14</f>
        <v>72588795.24787617</v>
      </c>
      <c r="F53" s="2" t="s">
        <v>103</v>
      </c>
      <c r="G53" s="149">
        <f>G14</f>
        <v>583542.1499636612</v>
      </c>
    </row>
    <row r="54" ht="15.75" thickBot="1"/>
    <row r="55" spans="1:7" ht="90.75" thickBot="1">
      <c r="A55" s="253" t="s">
        <v>37</v>
      </c>
      <c r="B55" s="254" t="s">
        <v>106</v>
      </c>
      <c r="C55" s="255" t="s">
        <v>39</v>
      </c>
      <c r="D55" s="15"/>
      <c r="E55" s="15"/>
      <c r="F55" s="250" t="str">
        <f>CONCATENATE(C2," County % Distribution (PROG/TOT PS) per BH Spreadsheet")</f>
        <v>San Mateo County % Distribution (PROG/TOT PS) per BH Spreadsheet</v>
      </c>
      <c r="G55" s="249" t="str">
        <f>CONCATENATE(C2," County Portion (Distribution to Programs)")</f>
        <v>San Mateo County Portion (Distribution to Programs)</v>
      </c>
    </row>
    <row r="56" spans="1:7" ht="4.5" customHeight="1" thickBot="1">
      <c r="A56" s="225"/>
      <c r="B56" s="226"/>
      <c r="C56" s="227"/>
      <c r="F56" s="150"/>
      <c r="G56" s="151"/>
    </row>
    <row r="57" spans="1:7" ht="15">
      <c r="A57" s="228" t="s">
        <v>44</v>
      </c>
      <c r="B57" s="271">
        <v>0.1860292278185457</v>
      </c>
      <c r="C57" s="234">
        <f>C53*B57</f>
        <v>13503637.528240923</v>
      </c>
      <c r="F57" s="273">
        <v>0.2029597891992356</v>
      </c>
      <c r="G57" s="213">
        <f>F57*G53</f>
        <v>118435.59174549341</v>
      </c>
    </row>
    <row r="58" spans="1:7" ht="15.75" thickBot="1">
      <c r="A58" s="229" t="s">
        <v>45</v>
      </c>
      <c r="B58" s="272">
        <v>0.8139707721814543</v>
      </c>
      <c r="C58" s="230">
        <f>C53*B58</f>
        <v>59085157.71963525</v>
      </c>
      <c r="F58" s="270">
        <v>0.7970402108007644</v>
      </c>
      <c r="G58" s="209">
        <f>F58*G53</f>
        <v>465106.5582181678</v>
      </c>
    </row>
    <row r="59" spans="1:7" ht="30.75" thickBot="1">
      <c r="A59" s="218" t="s">
        <v>102</v>
      </c>
      <c r="B59" s="219">
        <f>SUM(B57:B58)</f>
        <v>1</v>
      </c>
      <c r="C59" s="220">
        <f>SUM(C57:C58)</f>
        <v>72588795.24787617</v>
      </c>
      <c r="F59" s="235">
        <f>SUM(F57:F58)</f>
        <v>1</v>
      </c>
      <c r="G59" s="236">
        <f>SUM(G57:G58)</f>
        <v>583542.1499636612</v>
      </c>
    </row>
    <row r="60" ht="15"/>
    <row r="61" ht="15"/>
    <row r="62" ht="15"/>
    <row r="63" ht="15"/>
    <row r="64" ht="15"/>
    <row r="65" spans="1:7" ht="15">
      <c r="A65" s="676" t="s">
        <v>145</v>
      </c>
      <c r="B65" s="676"/>
      <c r="C65" s="676"/>
      <c r="D65" s="676"/>
      <c r="E65" s="676"/>
      <c r="F65" s="676"/>
      <c r="G65" s="676"/>
    </row>
    <row r="66" spans="1:7" ht="15">
      <c r="A66" s="677" t="s">
        <v>244</v>
      </c>
      <c r="B66" s="677"/>
      <c r="C66" s="677"/>
      <c r="D66" s="677"/>
      <c r="E66" s="677"/>
      <c r="F66" s="677"/>
      <c r="G66" s="677"/>
    </row>
    <row r="67" spans="1:7" ht="15">
      <c r="A67" s="358"/>
      <c r="B67" s="358"/>
      <c r="C67" s="358"/>
      <c r="D67" s="358"/>
      <c r="E67" s="358"/>
      <c r="F67" s="358"/>
      <c r="G67" s="358"/>
    </row>
    <row r="68" spans="2:7" ht="15">
      <c r="B68" s="372" t="s">
        <v>289</v>
      </c>
      <c r="C68" s="376">
        <f>B10*0.9</f>
        <v>42929962.697214864</v>
      </c>
      <c r="D68" s="358"/>
      <c r="E68" s="358"/>
      <c r="F68" s="372" t="s">
        <v>290</v>
      </c>
      <c r="G68" s="373">
        <f>B10*0.1</f>
        <v>4769995.855246096</v>
      </c>
    </row>
    <row r="69" spans="1:6" ht="15.75" thickBot="1">
      <c r="A69" s="358"/>
      <c r="B69" s="405"/>
      <c r="C69" s="358"/>
      <c r="D69" s="358"/>
      <c r="E69" s="358"/>
      <c r="F69" s="374"/>
    </row>
    <row r="70" spans="1:7" ht="15.75" customHeight="1" thickBot="1">
      <c r="A70" s="358"/>
      <c r="B70" s="672" t="s">
        <v>294</v>
      </c>
      <c r="C70" s="673"/>
      <c r="D70" s="358"/>
      <c r="E70" s="358"/>
      <c r="F70" s="672" t="s">
        <v>295</v>
      </c>
      <c r="G70" s="673"/>
    </row>
    <row r="71" spans="1:7" ht="6" customHeight="1" thickBot="1">
      <c r="A71" s="358"/>
      <c r="B71" s="365"/>
      <c r="C71" s="366"/>
      <c r="D71" s="358"/>
      <c r="E71" s="358"/>
      <c r="F71" s="365"/>
      <c r="G71" s="366"/>
    </row>
    <row r="72" spans="1:7" ht="15">
      <c r="A72" s="377"/>
      <c r="B72" s="406" t="s">
        <v>288</v>
      </c>
      <c r="C72" s="360"/>
      <c r="F72" s="406" t="s">
        <v>288</v>
      </c>
      <c r="G72" s="360"/>
    </row>
    <row r="73" spans="1:7" ht="15">
      <c r="A73" s="369" t="s">
        <v>183</v>
      </c>
      <c r="B73" s="602">
        <v>0.0404651</v>
      </c>
      <c r="C73" s="360">
        <f aca="true" t="shared" si="3" ref="C73:C103">C$68*B73</f>
        <v>1737165.233539069</v>
      </c>
      <c r="F73" s="602">
        <v>0.04716012</v>
      </c>
      <c r="G73" s="360">
        <f aca="true" t="shared" si="4" ref="G73:G103">G$68*F73</f>
        <v>224953.5769329085</v>
      </c>
    </row>
    <row r="74" spans="1:7" ht="15">
      <c r="A74" s="357" t="s">
        <v>184</v>
      </c>
      <c r="B74" s="602">
        <v>0.00039735</v>
      </c>
      <c r="C74" s="360">
        <f t="shared" si="3"/>
        <v>17058.220677738325</v>
      </c>
      <c r="F74" s="602">
        <v>0.0006764</v>
      </c>
      <c r="G74" s="360">
        <f t="shared" si="4"/>
        <v>3226.4251964884593</v>
      </c>
    </row>
    <row r="75" spans="1:7" ht="15">
      <c r="A75" s="357" t="s">
        <v>185</v>
      </c>
      <c r="B75" s="602">
        <v>0.00082369</v>
      </c>
      <c r="C75" s="360">
        <f t="shared" si="3"/>
        <v>35360.98097406891</v>
      </c>
      <c r="F75" s="602">
        <v>0.00087143</v>
      </c>
      <c r="G75" s="360">
        <f t="shared" si="4"/>
        <v>4156.717488137106</v>
      </c>
    </row>
    <row r="76" spans="1:7" ht="15">
      <c r="A76" s="357" t="s">
        <v>186</v>
      </c>
      <c r="B76" s="602">
        <v>0.00893282</v>
      </c>
      <c r="C76" s="360">
        <f t="shared" si="3"/>
        <v>383485.6293809349</v>
      </c>
      <c r="F76" s="602">
        <v>0.00829264</v>
      </c>
      <c r="G76" s="360">
        <f t="shared" si="4"/>
        <v>39555.858429047985</v>
      </c>
    </row>
    <row r="77" spans="1:7" ht="15">
      <c r="A77" s="357" t="s">
        <v>187</v>
      </c>
      <c r="B77" s="602">
        <v>0.00127599</v>
      </c>
      <c r="C77" s="360">
        <f t="shared" si="3"/>
        <v>54778.2031020192</v>
      </c>
      <c r="F77" s="602">
        <v>0.00156624</v>
      </c>
      <c r="G77" s="360">
        <f t="shared" si="4"/>
        <v>7470.958308320645</v>
      </c>
    </row>
    <row r="78" spans="1:7" ht="15">
      <c r="A78" s="357" t="s">
        <v>188</v>
      </c>
      <c r="B78" s="602">
        <v>0.00078482</v>
      </c>
      <c r="C78" s="360">
        <f t="shared" si="3"/>
        <v>33692.29332402817</v>
      </c>
      <c r="F78" s="602">
        <v>0.00084735</v>
      </c>
      <c r="G78" s="360">
        <f t="shared" si="4"/>
        <v>4041.8559879427794</v>
      </c>
    </row>
    <row r="79" spans="1:7" ht="15">
      <c r="A79" s="357" t="s">
        <v>189</v>
      </c>
      <c r="B79" s="602">
        <v>0.02281124</v>
      </c>
      <c r="C79" s="360">
        <f t="shared" si="3"/>
        <v>979285.6822772156</v>
      </c>
      <c r="F79" s="602">
        <v>0</v>
      </c>
      <c r="G79" s="360">
        <f t="shared" si="4"/>
        <v>0</v>
      </c>
    </row>
    <row r="80" spans="1:7" ht="15">
      <c r="A80" s="357" t="s">
        <v>190</v>
      </c>
      <c r="B80" s="602">
        <v>0.00208958</v>
      </c>
      <c r="C80" s="360">
        <f t="shared" si="3"/>
        <v>89705.59145284625</v>
      </c>
      <c r="F80" s="602">
        <v>0.00227755</v>
      </c>
      <c r="G80" s="360">
        <f t="shared" si="4"/>
        <v>10863.904060115747</v>
      </c>
    </row>
    <row r="81" spans="1:7" ht="15">
      <c r="A81" s="357" t="s">
        <v>191</v>
      </c>
      <c r="B81" s="602">
        <v>0.00369696</v>
      </c>
      <c r="C81" s="360">
        <f t="shared" si="3"/>
        <v>158710.35489309547</v>
      </c>
      <c r="F81" s="602">
        <v>0.00444826</v>
      </c>
      <c r="G81" s="360">
        <f t="shared" si="4"/>
        <v>21218.181763056997</v>
      </c>
    </row>
    <row r="82" spans="1:7" ht="15">
      <c r="A82" s="357" t="s">
        <v>192</v>
      </c>
      <c r="B82" s="602">
        <v>0.02443825</v>
      </c>
      <c r="C82" s="360">
        <f t="shared" si="3"/>
        <v>1049133.1608852113</v>
      </c>
      <c r="F82" s="602">
        <v>0.02372146</v>
      </c>
      <c r="G82" s="360">
        <f t="shared" si="4"/>
        <v>113151.26588038605</v>
      </c>
    </row>
    <row r="83" spans="1:7" ht="15">
      <c r="A83" s="357" t="s">
        <v>193</v>
      </c>
      <c r="B83" s="602">
        <v>0.0014546</v>
      </c>
      <c r="C83" s="360">
        <f t="shared" si="3"/>
        <v>62445.923739368736</v>
      </c>
      <c r="F83" s="602">
        <v>0.00195683</v>
      </c>
      <c r="G83" s="360">
        <f t="shared" si="4"/>
        <v>9334.070989421218</v>
      </c>
    </row>
    <row r="84" spans="1:7" ht="15">
      <c r="A84" s="357" t="s">
        <v>194</v>
      </c>
      <c r="B84" s="602">
        <v>0.00587531</v>
      </c>
      <c r="C84" s="360">
        <f t="shared" si="3"/>
        <v>252226.83913457347</v>
      </c>
      <c r="F84" s="602">
        <v>0.00599007</v>
      </c>
      <c r="G84" s="360">
        <f t="shared" si="4"/>
        <v>28572.609072633983</v>
      </c>
    </row>
    <row r="85" spans="1:7" ht="15">
      <c r="A85" s="357" t="s">
        <v>195</v>
      </c>
      <c r="B85" s="602">
        <v>0.00435984</v>
      </c>
      <c r="C85" s="360">
        <f t="shared" si="3"/>
        <v>187167.76856582527</v>
      </c>
      <c r="F85" s="602">
        <v>0</v>
      </c>
      <c r="G85" s="360">
        <f t="shared" si="4"/>
        <v>0</v>
      </c>
    </row>
    <row r="86" spans="1:7" ht="15">
      <c r="A86" s="357" t="s">
        <v>196</v>
      </c>
      <c r="B86" s="602">
        <v>0.00074396</v>
      </c>
      <c r="C86" s="360">
        <f t="shared" si="3"/>
        <v>31938.17504821997</v>
      </c>
      <c r="F86" s="602">
        <v>0.00105583</v>
      </c>
      <c r="G86" s="360">
        <f t="shared" si="4"/>
        <v>5036.304723844485</v>
      </c>
    </row>
    <row r="87" spans="1:7" ht="15">
      <c r="A87" s="357" t="s">
        <v>197</v>
      </c>
      <c r="B87" s="602">
        <v>0.02953492</v>
      </c>
      <c r="C87" s="360">
        <f t="shared" si="3"/>
        <v>1267933.0138652252</v>
      </c>
      <c r="F87" s="602">
        <v>0.02798945</v>
      </c>
      <c r="G87" s="360">
        <f t="shared" si="4"/>
        <v>133509.56049061785</v>
      </c>
    </row>
    <row r="88" spans="1:7" ht="15">
      <c r="A88" s="357" t="s">
        <v>198</v>
      </c>
      <c r="B88" s="602">
        <v>0.00379603</v>
      </c>
      <c r="C88" s="360">
        <f t="shared" si="3"/>
        <v>162963.42629750856</v>
      </c>
      <c r="F88" s="602">
        <v>0</v>
      </c>
      <c r="G88" s="360">
        <f t="shared" si="4"/>
        <v>0</v>
      </c>
    </row>
    <row r="89" spans="1:7" ht="15">
      <c r="A89" s="357" t="s">
        <v>199</v>
      </c>
      <c r="B89" s="602">
        <v>0.00251598</v>
      </c>
      <c r="C89" s="360">
        <f t="shared" si="3"/>
        <v>108010.92754693866</v>
      </c>
      <c r="F89" s="602">
        <v>0.0019256</v>
      </c>
      <c r="G89" s="360">
        <f t="shared" si="4"/>
        <v>9185.104018861883</v>
      </c>
    </row>
    <row r="90" spans="1:7" ht="15">
      <c r="A90" s="357" t="s">
        <v>200</v>
      </c>
      <c r="B90" s="602">
        <v>0.00179752</v>
      </c>
      <c r="C90" s="360">
        <f t="shared" si="3"/>
        <v>77167.46654749766</v>
      </c>
      <c r="F90" s="602">
        <v>0.00146104</v>
      </c>
      <c r="G90" s="360">
        <f t="shared" si="4"/>
        <v>6969.154744348756</v>
      </c>
    </row>
    <row r="91" spans="1:7" ht="15">
      <c r="A91" s="357" t="s">
        <v>201</v>
      </c>
      <c r="B91" s="602">
        <v>0.32271763</v>
      </c>
      <c r="C91" s="360">
        <f t="shared" si="3"/>
        <v>13854255.817633588</v>
      </c>
      <c r="F91" s="602">
        <v>0.34592287</v>
      </c>
      <c r="G91" s="360">
        <f t="shared" si="4"/>
        <v>1650050.656134834</v>
      </c>
    </row>
    <row r="92" spans="1:7" ht="15">
      <c r="A92" s="357" t="s">
        <v>202</v>
      </c>
      <c r="B92" s="602">
        <v>0.00327774</v>
      </c>
      <c r="C92" s="360">
        <f t="shared" si="3"/>
        <v>140713.25593116906</v>
      </c>
      <c r="F92" s="602">
        <v>0.00404797</v>
      </c>
      <c r="G92" s="360">
        <f t="shared" si="4"/>
        <v>19308.800122160537</v>
      </c>
    </row>
    <row r="93" spans="1:7" ht="15">
      <c r="A93" s="357" t="s">
        <v>203</v>
      </c>
      <c r="B93" s="602">
        <v>0.00327117</v>
      </c>
      <c r="C93" s="360">
        <f t="shared" si="3"/>
        <v>140431.20607624835</v>
      </c>
      <c r="F93" s="602">
        <v>0.00325553</v>
      </c>
      <c r="G93" s="360">
        <f t="shared" si="4"/>
        <v>15528.864606629322</v>
      </c>
    </row>
    <row r="94" spans="1:7" ht="15">
      <c r="A94" s="357" t="s">
        <v>204</v>
      </c>
      <c r="B94" s="602">
        <v>0.00091951</v>
      </c>
      <c r="C94" s="360">
        <f t="shared" si="3"/>
        <v>39474.52999971604</v>
      </c>
      <c r="F94" s="602">
        <v>0.00116526</v>
      </c>
      <c r="G94" s="360">
        <f t="shared" si="4"/>
        <v>5558.285370284066</v>
      </c>
    </row>
    <row r="95" spans="1:7" ht="15">
      <c r="A95" s="357" t="s">
        <v>205</v>
      </c>
      <c r="B95" s="602">
        <v>0.00515388</v>
      </c>
      <c r="C95" s="360">
        <f t="shared" si="3"/>
        <v>221255.87614592173</v>
      </c>
      <c r="F95" s="602">
        <v>0.00584536</v>
      </c>
      <c r="G95" s="360">
        <f t="shared" si="4"/>
        <v>27882.34297242132</v>
      </c>
    </row>
    <row r="96" spans="1:7" ht="15">
      <c r="A96" s="357" t="s">
        <v>206</v>
      </c>
      <c r="B96" s="602">
        <v>0.00719952</v>
      </c>
      <c r="C96" s="360">
        <f t="shared" si="3"/>
        <v>309075.1250378524</v>
      </c>
      <c r="F96" s="602">
        <v>0.00785411</v>
      </c>
      <c r="G96" s="360">
        <f t="shared" si="4"/>
        <v>37464.07214664691</v>
      </c>
    </row>
    <row r="97" spans="1:7" ht="15">
      <c r="A97" s="357" t="s">
        <v>207</v>
      </c>
      <c r="B97" s="602">
        <v>0.00050074</v>
      </c>
      <c r="C97" s="360">
        <f t="shared" si="3"/>
        <v>21496.74952100337</v>
      </c>
      <c r="F97" s="602">
        <v>0.00073935</v>
      </c>
      <c r="G97" s="360">
        <f t="shared" si="4"/>
        <v>3526.6964355762007</v>
      </c>
    </row>
    <row r="98" spans="1:7" ht="15">
      <c r="A98" s="357" t="s">
        <v>208</v>
      </c>
      <c r="B98" s="602">
        <v>0.00052615</v>
      </c>
      <c r="C98" s="360">
        <f t="shared" si="3"/>
        <v>22587.5998731396</v>
      </c>
      <c r="F98" s="602">
        <v>0.00075606</v>
      </c>
      <c r="G98" s="360">
        <f t="shared" si="4"/>
        <v>3606.4030663173635</v>
      </c>
    </row>
    <row r="99" spans="1:7" ht="15">
      <c r="A99" s="357" t="s">
        <v>209</v>
      </c>
      <c r="B99" s="602">
        <v>0.00838001</v>
      </c>
      <c r="C99" s="360">
        <f t="shared" si="3"/>
        <v>359753.51670228754</v>
      </c>
      <c r="F99" s="602">
        <v>0.00771844</v>
      </c>
      <c r="G99" s="360">
        <f t="shared" si="4"/>
        <v>36816.926808965676</v>
      </c>
    </row>
    <row r="100" spans="1:7" ht="15">
      <c r="A100" s="357" t="s">
        <v>210</v>
      </c>
      <c r="B100" s="602">
        <v>0.00293339</v>
      </c>
      <c r="C100" s="360">
        <f t="shared" si="3"/>
        <v>125930.32327638312</v>
      </c>
      <c r="F100" s="602">
        <v>0.00305144</v>
      </c>
      <c r="G100" s="360">
        <f t="shared" si="4"/>
        <v>14555.356152532146</v>
      </c>
    </row>
    <row r="101" spans="1:7" ht="15">
      <c r="A101" s="357" t="s">
        <v>211</v>
      </c>
      <c r="B101" s="602">
        <v>0.00175394</v>
      </c>
      <c r="C101" s="360">
        <f t="shared" si="3"/>
        <v>75296.57877315304</v>
      </c>
      <c r="F101" s="602">
        <v>0.00160054</v>
      </c>
      <c r="G101" s="360">
        <f t="shared" si="4"/>
        <v>7634.569166155586</v>
      </c>
    </row>
    <row r="102" spans="1:7" ht="15">
      <c r="A102" s="357" t="s">
        <v>212</v>
      </c>
      <c r="B102" s="602">
        <v>0.05164343</v>
      </c>
      <c r="C102" s="360">
        <f t="shared" si="3"/>
        <v>2217050.523456227</v>
      </c>
      <c r="F102" s="602">
        <v>0.05743605</v>
      </c>
      <c r="G102" s="360">
        <f t="shared" si="4"/>
        <v>273969.7204417075</v>
      </c>
    </row>
    <row r="103" spans="1:7" ht="15">
      <c r="A103" s="357" t="s">
        <v>213</v>
      </c>
      <c r="B103" s="602">
        <v>0.0085054</v>
      </c>
      <c r="C103" s="360">
        <f t="shared" si="3"/>
        <v>365136.5047248913</v>
      </c>
      <c r="F103" s="602">
        <v>0.00999538</v>
      </c>
      <c r="G103" s="360">
        <f t="shared" si="4"/>
        <v>47677.92117160972</v>
      </c>
    </row>
    <row r="104" spans="1:7" ht="15">
      <c r="A104" s="357" t="s">
        <v>214</v>
      </c>
      <c r="B104" s="602">
        <v>0.00099263</v>
      </c>
      <c r="C104" s="360">
        <f aca="true" t="shared" si="5" ref="C104:C131">C$68*B104</f>
        <v>42613.56887213639</v>
      </c>
      <c r="F104" s="602">
        <v>0.00116901</v>
      </c>
      <c r="G104" s="360">
        <f aca="true" t="shared" si="6" ref="G104:G131">G$68*F104</f>
        <v>5576.172854741239</v>
      </c>
    </row>
    <row r="105" spans="1:7" ht="15">
      <c r="A105" s="357" t="s">
        <v>215</v>
      </c>
      <c r="B105" s="602">
        <v>0.05523973</v>
      </c>
      <c r="C105" s="360">
        <f t="shared" si="5"/>
        <v>2371439.5483042207</v>
      </c>
      <c r="F105" s="602">
        <v>0.06333041</v>
      </c>
      <c r="G105" s="360">
        <f t="shared" si="6"/>
        <v>302085.7932110359</v>
      </c>
    </row>
    <row r="106" spans="1:7" ht="15">
      <c r="A106" s="357" t="s">
        <v>216</v>
      </c>
      <c r="B106" s="602">
        <v>0.05194281</v>
      </c>
      <c r="C106" s="360">
        <f t="shared" si="5"/>
        <v>2229902.8956885193</v>
      </c>
      <c r="F106" s="602">
        <v>0.0531775</v>
      </c>
      <c r="G106" s="360">
        <f t="shared" si="6"/>
        <v>253656.45459234927</v>
      </c>
    </row>
    <row r="107" spans="1:7" ht="15">
      <c r="A107" s="357" t="s">
        <v>217</v>
      </c>
      <c r="B107" s="602">
        <v>0.00115226</v>
      </c>
      <c r="C107" s="360">
        <f t="shared" si="5"/>
        <v>49466.478817492796</v>
      </c>
      <c r="F107" s="602">
        <v>0</v>
      </c>
      <c r="G107" s="360">
        <f t="shared" si="6"/>
        <v>0</v>
      </c>
    </row>
    <row r="108" spans="1:7" ht="15">
      <c r="A108" s="357" t="s">
        <v>218</v>
      </c>
      <c r="B108" s="602">
        <v>0.05506942</v>
      </c>
      <c r="C108" s="360">
        <f t="shared" si="5"/>
        <v>2364128.1463572583</v>
      </c>
      <c r="F108" s="602">
        <v>0.04766573</v>
      </c>
      <c r="G108" s="360">
        <f t="shared" si="6"/>
        <v>227365.3345372795</v>
      </c>
    </row>
    <row r="109" spans="1:7" ht="15">
      <c r="A109" s="357" t="s">
        <v>219</v>
      </c>
      <c r="B109" s="602">
        <v>0.07146774</v>
      </c>
      <c r="C109" s="360">
        <f t="shared" si="5"/>
        <v>3068107.4122542506</v>
      </c>
      <c r="F109" s="602">
        <v>0.08451354</v>
      </c>
      <c r="G109" s="360">
        <f t="shared" si="6"/>
        <v>403129.23551217513</v>
      </c>
    </row>
    <row r="110" spans="1:7" ht="15">
      <c r="A110" s="357" t="s">
        <v>220</v>
      </c>
      <c r="B110" s="602">
        <v>0.02188585</v>
      </c>
      <c r="C110" s="360">
        <f t="shared" si="5"/>
        <v>939558.7240968399</v>
      </c>
      <c r="F110" s="602">
        <v>0.02128954</v>
      </c>
      <c r="G110" s="360">
        <f t="shared" si="6"/>
        <v>101551.01756009596</v>
      </c>
    </row>
    <row r="111" spans="1:7" ht="15">
      <c r="A111" s="357" t="s">
        <v>221</v>
      </c>
      <c r="B111" s="602">
        <v>0.01999991</v>
      </c>
      <c r="C111" s="360">
        <f t="shared" si="5"/>
        <v>858595.3902476545</v>
      </c>
      <c r="F111" s="602">
        <v>0</v>
      </c>
      <c r="G111" s="360">
        <f t="shared" si="6"/>
        <v>0</v>
      </c>
    </row>
    <row r="112" spans="1:7" ht="15">
      <c r="A112" s="357" t="s">
        <v>222</v>
      </c>
      <c r="B112" s="602">
        <v>0.00800589</v>
      </c>
      <c r="C112" s="360">
        <f t="shared" si="5"/>
        <v>343692.5590580055</v>
      </c>
      <c r="F112" s="602">
        <v>0.0093199</v>
      </c>
      <c r="G112" s="360">
        <f t="shared" si="6"/>
        <v>44455.88437130809</v>
      </c>
    </row>
    <row r="113" spans="1:7" ht="15">
      <c r="A113" s="369" t="s">
        <v>182</v>
      </c>
      <c r="B113" s="602">
        <v>0.00993017</v>
      </c>
      <c r="C113" s="360">
        <f t="shared" si="5"/>
        <v>426301.8276770021</v>
      </c>
      <c r="D113" s="371"/>
      <c r="E113" s="371"/>
      <c r="F113" s="602">
        <v>0.01279899</v>
      </c>
      <c r="G113" s="360">
        <f t="shared" si="6"/>
        <v>61051.12925133623</v>
      </c>
    </row>
    <row r="114" spans="1:7" ht="15">
      <c r="A114" s="369" t="s">
        <v>223</v>
      </c>
      <c r="B114" s="602">
        <v>0.00779085</v>
      </c>
      <c r="C114" s="360">
        <f t="shared" si="5"/>
        <v>334460.8998795964</v>
      </c>
      <c r="D114" s="371"/>
      <c r="E114" s="371"/>
      <c r="F114" s="602">
        <v>0.00736657</v>
      </c>
      <c r="G114" s="360">
        <f t="shared" si="6"/>
        <v>35138.50836738024</v>
      </c>
    </row>
    <row r="115" spans="1:7" ht="15">
      <c r="A115" s="369" t="s">
        <v>224</v>
      </c>
      <c r="B115" s="602">
        <v>0.03754799</v>
      </c>
      <c r="C115" s="360">
        <f t="shared" si="5"/>
        <v>1611933.810055397</v>
      </c>
      <c r="D115" s="371"/>
      <c r="E115" s="371"/>
      <c r="F115" s="602">
        <v>0.04755209</v>
      </c>
      <c r="G115" s="360">
        <f t="shared" si="6"/>
        <v>226823.27220828933</v>
      </c>
    </row>
    <row r="116" spans="1:7" ht="15">
      <c r="A116" s="369" t="s">
        <v>225</v>
      </c>
      <c r="B116" s="602">
        <v>0.00598308</v>
      </c>
      <c r="C116" s="360">
        <f t="shared" si="5"/>
        <v>256853.40121445231</v>
      </c>
      <c r="D116" s="371"/>
      <c r="E116" s="371"/>
      <c r="F116" s="602">
        <v>0.00523716</v>
      </c>
      <c r="G116" s="360">
        <f t="shared" si="6"/>
        <v>24981.231493260646</v>
      </c>
    </row>
    <row r="117" spans="1:7" ht="15">
      <c r="A117" s="357" t="s">
        <v>226</v>
      </c>
      <c r="B117" s="602">
        <v>0.00701682</v>
      </c>
      <c r="C117" s="360">
        <f t="shared" si="5"/>
        <v>301231.8208530712</v>
      </c>
      <c r="F117" s="602">
        <v>0.00532421</v>
      </c>
      <c r="G117" s="360">
        <f t="shared" si="6"/>
        <v>25396.459632459817</v>
      </c>
    </row>
    <row r="118" spans="1:7" ht="15">
      <c r="A118" s="357" t="s">
        <v>227</v>
      </c>
      <c r="B118" s="602">
        <v>0.00040542</v>
      </c>
      <c r="C118" s="360">
        <f t="shared" si="5"/>
        <v>17404.66547670485</v>
      </c>
      <c r="F118" s="602">
        <v>0.00065997</v>
      </c>
      <c r="G118" s="360">
        <f t="shared" si="6"/>
        <v>3148.0541645867656</v>
      </c>
    </row>
    <row r="119" spans="1:7" ht="15">
      <c r="A119" s="357" t="s">
        <v>228</v>
      </c>
      <c r="B119" s="602">
        <v>0.00182383</v>
      </c>
      <c r="C119" s="360">
        <f t="shared" si="5"/>
        <v>78296.95386606139</v>
      </c>
      <c r="F119" s="602">
        <v>0.00171703</v>
      </c>
      <c r="G119" s="360">
        <f t="shared" si="6"/>
        <v>8190.225983333205</v>
      </c>
    </row>
    <row r="120" spans="1:7" ht="15">
      <c r="A120" s="357" t="s">
        <v>229</v>
      </c>
      <c r="B120" s="602">
        <v>0.00657458</v>
      </c>
      <c r="C120" s="360">
        <f t="shared" si="5"/>
        <v>282246.4741498549</v>
      </c>
      <c r="F120" s="602">
        <v>0.00707972</v>
      </c>
      <c r="G120" s="360">
        <f t="shared" si="6"/>
        <v>33770.23505630289</v>
      </c>
    </row>
    <row r="121" spans="1:7" ht="15">
      <c r="A121" s="357" t="s">
        <v>230</v>
      </c>
      <c r="B121" s="602">
        <v>0.01194851</v>
      </c>
      <c r="C121" s="360">
        <f t="shared" si="5"/>
        <v>512949.0885872988</v>
      </c>
      <c r="F121" s="602">
        <v>0.01037409</v>
      </c>
      <c r="G121" s="360">
        <f t="shared" si="6"/>
        <v>49484.36630194997</v>
      </c>
    </row>
    <row r="122" spans="1:7" ht="15">
      <c r="A122" s="357" t="s">
        <v>231</v>
      </c>
      <c r="B122" s="602">
        <v>0.01096905</v>
      </c>
      <c r="C122" s="360">
        <f t="shared" si="5"/>
        <v>470900.90732388466</v>
      </c>
      <c r="F122" s="602">
        <v>0.01336364</v>
      </c>
      <c r="G122" s="360">
        <f t="shared" si="6"/>
        <v>63744.50741100094</v>
      </c>
    </row>
    <row r="123" spans="1:7" ht="15">
      <c r="A123" s="357" t="s">
        <v>232</v>
      </c>
      <c r="B123" s="602">
        <v>0.00329532</v>
      </c>
      <c r="C123" s="360">
        <f t="shared" si="5"/>
        <v>141467.9646753861</v>
      </c>
      <c r="F123" s="602">
        <v>0.00316649</v>
      </c>
      <c r="G123" s="360">
        <f t="shared" si="6"/>
        <v>15104.144175678211</v>
      </c>
    </row>
    <row r="124" spans="1:7" ht="15">
      <c r="A124" s="357" t="s">
        <v>233</v>
      </c>
      <c r="B124" s="602">
        <v>0.00308406</v>
      </c>
      <c r="C124" s="360">
        <f t="shared" si="5"/>
        <v>132398.58075597248</v>
      </c>
      <c r="F124" s="602">
        <v>0.00306565</v>
      </c>
      <c r="G124" s="360">
        <f t="shared" si="6"/>
        <v>14623.137793635195</v>
      </c>
    </row>
    <row r="125" spans="1:7" ht="15">
      <c r="A125" s="357" t="s">
        <v>234</v>
      </c>
      <c r="B125" s="602">
        <v>0.00112331</v>
      </c>
      <c r="C125" s="360">
        <f t="shared" si="5"/>
        <v>48223.65639740843</v>
      </c>
      <c r="F125" s="602">
        <v>0.00170143</v>
      </c>
      <c r="G125" s="360">
        <f t="shared" si="6"/>
        <v>8115.814047991365</v>
      </c>
    </row>
    <row r="126" spans="1:7" ht="15">
      <c r="A126" s="357" t="s">
        <v>235</v>
      </c>
      <c r="B126" s="602">
        <v>0.01210849</v>
      </c>
      <c r="C126" s="360">
        <f t="shared" si="5"/>
        <v>519817.0240195992</v>
      </c>
      <c r="F126" s="602">
        <v>0</v>
      </c>
      <c r="G126" s="360">
        <f t="shared" si="6"/>
        <v>0</v>
      </c>
    </row>
    <row r="127" spans="1:7" ht="15">
      <c r="A127" s="357" t="s">
        <v>236</v>
      </c>
      <c r="B127" s="602">
        <v>0.00179229</v>
      </c>
      <c r="C127" s="360">
        <f t="shared" si="5"/>
        <v>76942.94284259123</v>
      </c>
      <c r="F127" s="602">
        <v>0.00161288</v>
      </c>
      <c r="G127" s="360">
        <f t="shared" si="6"/>
        <v>7693.430915009323</v>
      </c>
    </row>
    <row r="128" spans="1:7" ht="15">
      <c r="A128" s="357" t="s">
        <v>237</v>
      </c>
      <c r="B128" s="602">
        <v>0.01146039</v>
      </c>
      <c r="C128" s="360">
        <f t="shared" si="5"/>
        <v>491994.1151955343</v>
      </c>
      <c r="F128" s="602">
        <v>0.01119326</v>
      </c>
      <c r="G128" s="360">
        <f t="shared" si="6"/>
        <v>53391.80380669192</v>
      </c>
    </row>
    <row r="129" spans="1:7" ht="15">
      <c r="A129" s="357" t="s">
        <v>238</v>
      </c>
      <c r="B129" s="602">
        <v>0.00511961</v>
      </c>
      <c r="C129" s="360">
        <f t="shared" si="5"/>
        <v>219784.6663242882</v>
      </c>
      <c r="F129" s="602">
        <v>0.00357467</v>
      </c>
      <c r="G129" s="360">
        <f t="shared" si="6"/>
        <v>17051.16108387256</v>
      </c>
    </row>
    <row r="130" spans="1:7" ht="15">
      <c r="A130" s="357" t="s">
        <v>239</v>
      </c>
      <c r="B130" s="602">
        <v>0.00369352</v>
      </c>
      <c r="C130" s="360">
        <f t="shared" si="5"/>
        <v>158562.67582141704</v>
      </c>
      <c r="F130" s="602">
        <v>0.00411789</v>
      </c>
      <c r="G130" s="360">
        <f t="shared" si="6"/>
        <v>19642.318232359346</v>
      </c>
    </row>
    <row r="131" spans="1:7" ht="15">
      <c r="A131" s="357" t="s">
        <v>140</v>
      </c>
      <c r="B131" s="363">
        <v>0</v>
      </c>
      <c r="C131" s="364">
        <f t="shared" si="5"/>
        <v>0</v>
      </c>
      <c r="F131" s="359">
        <v>0</v>
      </c>
      <c r="G131" s="360">
        <f t="shared" si="6"/>
        <v>0</v>
      </c>
    </row>
    <row r="132" spans="1:7" ht="15.75" thickBot="1">
      <c r="A132" s="357" t="s">
        <v>141</v>
      </c>
      <c r="B132" s="384">
        <f>SUM(B72:B131)</f>
        <v>1.0000000000000002</v>
      </c>
      <c r="C132" s="362">
        <f>SUM(C72:C131)</f>
        <v>42929962.69721485</v>
      </c>
      <c r="F132" s="385">
        <f>SUM(F72:F131)</f>
        <v>1.0000000000000002</v>
      </c>
      <c r="G132" s="368">
        <f>SUM(G72:G131)</f>
        <v>4769995.855246096</v>
      </c>
    </row>
    <row r="133" ht="15"/>
    <row r="134" ht="15"/>
    <row r="135" ht="15"/>
    <row r="136" ht="15"/>
    <row r="137" ht="15"/>
    <row r="138" ht="15"/>
    <row r="139" ht="15"/>
    <row r="140" spans="1:7" ht="15">
      <c r="A140" s="676" t="s">
        <v>145</v>
      </c>
      <c r="B140" s="676"/>
      <c r="C140" s="676"/>
      <c r="D140" s="676"/>
      <c r="E140" s="676"/>
      <c r="F140" s="676"/>
      <c r="G140" s="676"/>
    </row>
    <row r="141" spans="1:7" ht="15">
      <c r="A141" s="677" t="s">
        <v>244</v>
      </c>
      <c r="B141" s="677"/>
      <c r="C141" s="677"/>
      <c r="D141" s="677"/>
      <c r="E141" s="677"/>
      <c r="F141" s="677"/>
      <c r="G141" s="677"/>
    </row>
    <row r="142" spans="1:7" ht="15">
      <c r="A142" s="358"/>
      <c r="B142" s="358"/>
      <c r="C142" s="358"/>
      <c r="D142" s="358"/>
      <c r="E142" s="358"/>
      <c r="F142" s="358"/>
      <c r="G142" s="358"/>
    </row>
    <row r="143" spans="2:7" ht="15">
      <c r="B143" s="372" t="s">
        <v>291</v>
      </c>
      <c r="C143" s="376">
        <f>B13</f>
        <v>87482730.03660883</v>
      </c>
      <c r="D143" s="358"/>
      <c r="E143" s="358"/>
      <c r="F143" s="323" t="s">
        <v>84</v>
      </c>
      <c r="G143" s="373">
        <f>B14</f>
        <v>72588795.24787617</v>
      </c>
    </row>
    <row r="144" spans="1:6" ht="15.75" thickBot="1">
      <c r="A144" s="358"/>
      <c r="B144" s="405"/>
      <c r="C144" s="358"/>
      <c r="D144" s="358"/>
      <c r="E144" s="358"/>
      <c r="F144" s="374" t="s">
        <v>143</v>
      </c>
    </row>
    <row r="145" spans="1:7" ht="15.75" thickBot="1">
      <c r="A145" s="358"/>
      <c r="B145" s="672" t="s">
        <v>298</v>
      </c>
      <c r="C145" s="673"/>
      <c r="D145" s="358"/>
      <c r="E145" s="358"/>
      <c r="F145" s="672" t="s">
        <v>84</v>
      </c>
      <c r="G145" s="673"/>
    </row>
    <row r="146" spans="1:7" ht="6" customHeight="1" thickBot="1">
      <c r="A146" s="358"/>
      <c r="B146" s="365"/>
      <c r="C146" s="366"/>
      <c r="D146" s="358"/>
      <c r="E146" s="358"/>
      <c r="F146" s="365"/>
      <c r="G146" s="366"/>
    </row>
    <row r="147" spans="1:7" ht="15">
      <c r="A147" s="377"/>
      <c r="B147" s="406" t="s">
        <v>288</v>
      </c>
      <c r="C147" s="360"/>
      <c r="F147" s="491" t="s">
        <v>245</v>
      </c>
      <c r="G147" s="360"/>
    </row>
    <row r="148" spans="1:7" ht="15">
      <c r="A148" s="369" t="s">
        <v>183</v>
      </c>
      <c r="B148" s="602">
        <v>0.044015</v>
      </c>
      <c r="C148" s="360">
        <f aca="true" t="shared" si="7" ref="C148:C206">C$68*B148</f>
        <v>1889562.3081179122</v>
      </c>
      <c r="F148" s="359">
        <v>0.05458476278108932</v>
      </c>
      <c r="G148" s="360">
        <f aca="true" t="shared" si="8" ref="G148:G206">G$68*F148</f>
        <v>260369.09222538743</v>
      </c>
    </row>
    <row r="149" spans="1:7" ht="15">
      <c r="A149" s="357" t="s">
        <v>184</v>
      </c>
      <c r="B149" s="602">
        <v>0.000631</v>
      </c>
      <c r="C149" s="360">
        <f t="shared" si="7"/>
        <v>27088.806461942582</v>
      </c>
      <c r="F149" s="359">
        <v>9.737742765298564E-05</v>
      </c>
      <c r="G149" s="360">
        <f t="shared" si="8"/>
        <v>464.48992629926806</v>
      </c>
    </row>
    <row r="150" spans="1:7" ht="15">
      <c r="A150" s="357" t="s">
        <v>185</v>
      </c>
      <c r="B150" s="602">
        <v>0.000813</v>
      </c>
      <c r="C150" s="360">
        <f t="shared" si="7"/>
        <v>34902.05967283568</v>
      </c>
      <c r="F150" s="359">
        <v>0.00046239888619045846</v>
      </c>
      <c r="G150" s="360">
        <f t="shared" si="8"/>
        <v>2205.640770598898</v>
      </c>
    </row>
    <row r="151" spans="1:7" ht="15">
      <c r="A151" s="357" t="s">
        <v>186</v>
      </c>
      <c r="B151" s="602">
        <v>0.00774</v>
      </c>
      <c r="C151" s="360">
        <f t="shared" si="7"/>
        <v>332277.91127644305</v>
      </c>
      <c r="F151" s="359">
        <v>0.011128020815201188</v>
      </c>
      <c r="G151" s="360">
        <f t="shared" si="8"/>
        <v>53080.61316560195</v>
      </c>
    </row>
    <row r="152" spans="1:7" ht="15">
      <c r="A152" s="357" t="s">
        <v>187</v>
      </c>
      <c r="B152" s="602">
        <v>0.001462</v>
      </c>
      <c r="C152" s="360">
        <f t="shared" si="7"/>
        <v>62763.60546332813</v>
      </c>
      <c r="F152" s="359">
        <v>0.0008968229145634285</v>
      </c>
      <c r="G152" s="360">
        <f t="shared" si="8"/>
        <v>4277.841585357278</v>
      </c>
    </row>
    <row r="153" spans="1:7" ht="15">
      <c r="A153" s="357" t="s">
        <v>188</v>
      </c>
      <c r="B153" s="602">
        <v>0.000791</v>
      </c>
      <c r="C153" s="360">
        <f t="shared" si="7"/>
        <v>33957.60049349696</v>
      </c>
      <c r="F153" s="359">
        <v>0.0012606528665501163</v>
      </c>
      <c r="G153" s="360">
        <f t="shared" si="8"/>
        <v>6013.308948348164</v>
      </c>
    </row>
    <row r="154" spans="1:7" ht="15">
      <c r="A154" s="357" t="s">
        <v>189</v>
      </c>
      <c r="B154" s="602">
        <v>0.025317</v>
      </c>
      <c r="C154" s="360">
        <f t="shared" si="7"/>
        <v>1086857.8656053888</v>
      </c>
      <c r="F154" s="359">
        <v>0.022868844918800767</v>
      </c>
      <c r="G154" s="360">
        <f t="shared" si="8"/>
        <v>109084.29547694541</v>
      </c>
    </row>
    <row r="155" spans="1:7" ht="15">
      <c r="A155" s="357" t="s">
        <v>190</v>
      </c>
      <c r="B155" s="602">
        <v>0.002126</v>
      </c>
      <c r="C155" s="360">
        <f t="shared" si="7"/>
        <v>91269.1006942788</v>
      </c>
      <c r="F155" s="359">
        <v>0.0011086016201186943</v>
      </c>
      <c r="G155" s="360">
        <f t="shared" si="8"/>
        <v>5288.025133085279</v>
      </c>
    </row>
    <row r="156" spans="1:7" ht="15">
      <c r="A156" s="357" t="s">
        <v>191</v>
      </c>
      <c r="B156" s="602">
        <v>0.004152</v>
      </c>
      <c r="C156" s="360">
        <f t="shared" si="7"/>
        <v>178245.20511883614</v>
      </c>
      <c r="F156" s="359">
        <v>0.0031068826651717467</v>
      </c>
      <c r="G156" s="360">
        <f t="shared" si="8"/>
        <v>14819.817435605175</v>
      </c>
    </row>
    <row r="157" spans="1:7" ht="15">
      <c r="A157" s="357" t="s">
        <v>192</v>
      </c>
      <c r="B157" s="602">
        <v>0.022139</v>
      </c>
      <c r="C157" s="360">
        <f t="shared" si="7"/>
        <v>950426.4441536398</v>
      </c>
      <c r="F157" s="359">
        <v>0.02993320339663993</v>
      </c>
      <c r="G157" s="360">
        <f t="shared" si="8"/>
        <v>142781.25613621084</v>
      </c>
    </row>
    <row r="158" spans="1:7" ht="15">
      <c r="A158" s="357" t="s">
        <v>193</v>
      </c>
      <c r="B158" s="602">
        <v>0.001826</v>
      </c>
      <c r="C158" s="360">
        <f t="shared" si="7"/>
        <v>78390.11188511434</v>
      </c>
      <c r="F158" s="359">
        <v>0.0009952332866060714</v>
      </c>
      <c r="G158" s="360">
        <f t="shared" si="8"/>
        <v>4747.258652113911</v>
      </c>
    </row>
    <row r="159" spans="1:7" ht="15">
      <c r="A159" s="357" t="s">
        <v>194</v>
      </c>
      <c r="B159" s="602">
        <v>0.005591</v>
      </c>
      <c r="C159" s="360">
        <f t="shared" si="7"/>
        <v>240021.4214401283</v>
      </c>
      <c r="F159" s="359">
        <v>0.004921435091423468</v>
      </c>
      <c r="G159" s="360">
        <f t="shared" si="8"/>
        <v>23475.22498795263</v>
      </c>
    </row>
    <row r="160" spans="1:7" ht="15">
      <c r="A160" s="357" t="s">
        <v>195</v>
      </c>
      <c r="B160" s="602">
        <v>0.005981</v>
      </c>
      <c r="C160" s="360">
        <f t="shared" si="7"/>
        <v>256764.10689204212</v>
      </c>
      <c r="F160" s="359">
        <v>0.006111371084002517</v>
      </c>
      <c r="G160" s="360">
        <f t="shared" si="8"/>
        <v>29151.214740562846</v>
      </c>
    </row>
    <row r="161" spans="1:7" ht="15">
      <c r="A161" s="357" t="s">
        <v>196</v>
      </c>
      <c r="B161" s="602">
        <v>0.000985</v>
      </c>
      <c r="C161" s="360">
        <f t="shared" si="7"/>
        <v>42286.01325675664</v>
      </c>
      <c r="F161" s="359">
        <v>0.0005336578665724027</v>
      </c>
      <c r="G161" s="360">
        <f t="shared" si="8"/>
        <v>2545.545811669835</v>
      </c>
    </row>
    <row r="162" spans="1:7" ht="15">
      <c r="A162" s="357" t="s">
        <v>197</v>
      </c>
      <c r="B162" s="602">
        <v>0.026123</v>
      </c>
      <c r="C162" s="360">
        <f t="shared" si="7"/>
        <v>1121459.4155393438</v>
      </c>
      <c r="F162" s="359">
        <v>0.023415285185902388</v>
      </c>
      <c r="G162" s="360">
        <f t="shared" si="8"/>
        <v>111690.8132861597</v>
      </c>
    </row>
    <row r="163" spans="1:7" ht="15">
      <c r="A163" s="357" t="s">
        <v>198</v>
      </c>
      <c r="B163" s="602">
        <v>0.004206</v>
      </c>
      <c r="C163" s="360">
        <f t="shared" si="7"/>
        <v>180563.4231044857</v>
      </c>
      <c r="F163" s="359">
        <v>0.0017037357983620898</v>
      </c>
      <c r="G163" s="360">
        <f t="shared" si="8"/>
        <v>8126.812696621567</v>
      </c>
    </row>
    <row r="164" spans="1:7" ht="15">
      <c r="A164" s="357" t="s">
        <v>199</v>
      </c>
      <c r="B164" s="602">
        <v>0.001797</v>
      </c>
      <c r="C164" s="360">
        <f t="shared" si="7"/>
        <v>77145.14296689512</v>
      </c>
      <c r="F164" s="359">
        <v>0.002511594241181609</v>
      </c>
      <c r="G164" s="360">
        <f t="shared" si="8"/>
        <v>11980.294120496239</v>
      </c>
    </row>
    <row r="165" spans="1:7" ht="15">
      <c r="A165" s="357" t="s">
        <v>200</v>
      </c>
      <c r="B165" s="602">
        <v>0.001364</v>
      </c>
      <c r="C165" s="360">
        <f t="shared" si="7"/>
        <v>58556.46911900107</v>
      </c>
      <c r="F165" s="359">
        <v>0.001183177280460982</v>
      </c>
      <c r="G165" s="360">
        <f t="shared" si="8"/>
        <v>5643.7507238202315</v>
      </c>
    </row>
    <row r="166" spans="1:7" ht="15">
      <c r="A166" s="357" t="s">
        <v>201</v>
      </c>
      <c r="B166" s="602">
        <v>0.32285</v>
      </c>
      <c r="C166" s="360">
        <f t="shared" si="7"/>
        <v>13859938.45679582</v>
      </c>
      <c r="F166" s="359">
        <v>0.3842272226086044</v>
      </c>
      <c r="G166" s="360">
        <f t="shared" si="8"/>
        <v>1832762.2593157622</v>
      </c>
    </row>
    <row r="167" spans="1:7" ht="15">
      <c r="A167" s="357" t="s">
        <v>202</v>
      </c>
      <c r="B167" s="602">
        <v>0.003778</v>
      </c>
      <c r="C167" s="360">
        <f t="shared" si="7"/>
        <v>162189.39907007775</v>
      </c>
      <c r="F167" s="359">
        <v>0.0026342759874983354</v>
      </c>
      <c r="G167" s="360">
        <f t="shared" si="8"/>
        <v>12565.485541941376</v>
      </c>
    </row>
    <row r="168" spans="1:7" ht="15">
      <c r="A168" s="357" t="s">
        <v>203</v>
      </c>
      <c r="B168" s="602">
        <v>0.003038</v>
      </c>
      <c r="C168" s="360">
        <f t="shared" si="7"/>
        <v>130421.22667413876</v>
      </c>
      <c r="F168" s="359">
        <v>0.0035937187111847557</v>
      </c>
      <c r="G168" s="360">
        <f t="shared" si="8"/>
        <v>17142.023357271628</v>
      </c>
    </row>
    <row r="169" spans="1:7" ht="15">
      <c r="A169" s="357" t="s">
        <v>204</v>
      </c>
      <c r="B169" s="602">
        <v>0.001088</v>
      </c>
      <c r="C169" s="360">
        <f t="shared" si="7"/>
        <v>46707.799414569774</v>
      </c>
      <c r="F169" s="359">
        <v>0.0008199633424702754</v>
      </c>
      <c r="G169" s="360">
        <f t="shared" si="8"/>
        <v>3911.2217450369485</v>
      </c>
    </row>
    <row r="170" spans="1:7" ht="15">
      <c r="A170" s="357" t="s">
        <v>205</v>
      </c>
      <c r="B170" s="602">
        <v>0.005455</v>
      </c>
      <c r="C170" s="360">
        <f t="shared" si="7"/>
        <v>234182.94651330708</v>
      </c>
      <c r="F170" s="359">
        <v>0.0068848743038209485</v>
      </c>
      <c r="G170" s="360">
        <f t="shared" si="8"/>
        <v>32840.82189311628</v>
      </c>
    </row>
    <row r="171" spans="1:7" ht="15">
      <c r="A171" s="357" t="s">
        <v>206</v>
      </c>
      <c r="B171" s="602">
        <v>0.00733</v>
      </c>
      <c r="C171" s="360">
        <f t="shared" si="7"/>
        <v>314676.62657058495</v>
      </c>
      <c r="F171" s="359">
        <v>0.005888052488630647</v>
      </c>
      <c r="G171" s="360">
        <f t="shared" si="8"/>
        <v>28085.985966239645</v>
      </c>
    </row>
    <row r="172" spans="1:7" ht="15">
      <c r="A172" s="357" t="s">
        <v>207</v>
      </c>
      <c r="B172" s="602">
        <v>0.00069</v>
      </c>
      <c r="C172" s="360">
        <f t="shared" si="7"/>
        <v>29621.674261078257</v>
      </c>
      <c r="F172" s="359">
        <v>0.0004749458219104025</v>
      </c>
      <c r="G172" s="360">
        <f t="shared" si="8"/>
        <v>2265.4896019790704</v>
      </c>
    </row>
    <row r="173" spans="1:7" ht="15">
      <c r="A173" s="357" t="s">
        <v>208</v>
      </c>
      <c r="B173" s="602">
        <v>0.000706</v>
      </c>
      <c r="C173" s="360">
        <f t="shared" si="7"/>
        <v>30308.553664233696</v>
      </c>
      <c r="F173" s="359">
        <v>0.0002594833649917824</v>
      </c>
      <c r="G173" s="360">
        <f t="shared" si="8"/>
        <v>1237.734575516112</v>
      </c>
    </row>
    <row r="174" spans="1:7" ht="15">
      <c r="A174" s="357" t="s">
        <v>209</v>
      </c>
      <c r="B174" s="602">
        <v>0.007204</v>
      </c>
      <c r="C174" s="360">
        <f t="shared" si="7"/>
        <v>309267.4512707359</v>
      </c>
      <c r="F174" s="359">
        <v>0.009113647560685556</v>
      </c>
      <c r="G174" s="360">
        <f t="shared" si="8"/>
        <v>43472.061090643794</v>
      </c>
    </row>
    <row r="175" spans="1:7" ht="15">
      <c r="A175" s="357" t="s">
        <v>210</v>
      </c>
      <c r="B175" s="602">
        <v>0.002848</v>
      </c>
      <c r="C175" s="360">
        <f t="shared" si="7"/>
        <v>122264.53376166793</v>
      </c>
      <c r="F175" s="359">
        <v>0.003587183131263431</v>
      </c>
      <c r="G175" s="360">
        <f t="shared" si="8"/>
        <v>17110.848668135277</v>
      </c>
    </row>
    <row r="176" spans="1:7" ht="15">
      <c r="A176" s="357" t="s">
        <v>211</v>
      </c>
      <c r="B176" s="602">
        <v>0.001494</v>
      </c>
      <c r="C176" s="360">
        <f t="shared" si="7"/>
        <v>64137.36426963901</v>
      </c>
      <c r="F176" s="359">
        <v>0.003654901242407215</v>
      </c>
      <c r="G176" s="360">
        <f t="shared" si="8"/>
        <v>17433.86377761622</v>
      </c>
    </row>
    <row r="177" spans="1:7" ht="15">
      <c r="A177" s="357" t="s">
        <v>212</v>
      </c>
      <c r="B177" s="602">
        <v>0.053605</v>
      </c>
      <c r="C177" s="360">
        <f t="shared" si="7"/>
        <v>2301260.6503842026</v>
      </c>
      <c r="F177" s="359">
        <v>0.03397812192475488</v>
      </c>
      <c r="G177" s="360">
        <f t="shared" si="8"/>
        <v>162075.50075012725</v>
      </c>
    </row>
    <row r="178" spans="1:7" ht="15">
      <c r="A178" s="357" t="s">
        <v>213</v>
      </c>
      <c r="B178" s="602">
        <v>0.009329</v>
      </c>
      <c r="C178" s="360">
        <f t="shared" si="7"/>
        <v>400493.6220023175</v>
      </c>
      <c r="F178" s="359">
        <v>0.0037217529875206152</v>
      </c>
      <c r="G178" s="360">
        <f t="shared" si="8"/>
        <v>17752.74632472311</v>
      </c>
    </row>
    <row r="179" spans="1:7" ht="15">
      <c r="A179" s="357" t="s">
        <v>214</v>
      </c>
      <c r="B179" s="602">
        <v>0.001091</v>
      </c>
      <c r="C179" s="360">
        <f t="shared" si="7"/>
        <v>46836.589302661414</v>
      </c>
      <c r="F179" s="359">
        <v>0.0008653153798861046</v>
      </c>
      <c r="G179" s="360">
        <f t="shared" si="8"/>
        <v>4127.55077553742</v>
      </c>
    </row>
    <row r="180" spans="1:7" ht="15">
      <c r="A180" s="357" t="s">
        <v>215</v>
      </c>
      <c r="B180" s="602">
        <v>0.059106</v>
      </c>
      <c r="C180" s="360">
        <f t="shared" si="7"/>
        <v>2537418.375181582</v>
      </c>
      <c r="F180" s="359">
        <v>0.03000466868401152</v>
      </c>
      <c r="G180" s="360">
        <f t="shared" si="8"/>
        <v>143122.14526076728</v>
      </c>
    </row>
    <row r="181" spans="1:7" ht="15">
      <c r="A181" s="357" t="s">
        <v>216</v>
      </c>
      <c r="B181" s="602">
        <v>0.049631</v>
      </c>
      <c r="C181" s="360">
        <f t="shared" si="7"/>
        <v>2130656.978625471</v>
      </c>
      <c r="F181" s="359">
        <v>0.05541565731085765</v>
      </c>
      <c r="G181" s="360">
        <f t="shared" si="8"/>
        <v>264332.455688529</v>
      </c>
    </row>
    <row r="182" spans="1:7" ht="15">
      <c r="A182" s="357" t="s">
        <v>217</v>
      </c>
      <c r="B182" s="602">
        <v>0.001372</v>
      </c>
      <c r="C182" s="360">
        <f t="shared" si="7"/>
        <v>58899.90882057879</v>
      </c>
      <c r="F182" s="359">
        <v>0.0008684925251446558</v>
      </c>
      <c r="G182" s="360">
        <f t="shared" si="8"/>
        <v>4142.705745252224</v>
      </c>
    </row>
    <row r="183" spans="1:7" ht="15">
      <c r="A183" s="357" t="s">
        <v>218</v>
      </c>
      <c r="B183" s="602">
        <v>0.044486</v>
      </c>
      <c r="C183" s="360">
        <f t="shared" si="7"/>
        <v>1909782.3205483004</v>
      </c>
      <c r="F183" s="359">
        <v>0.03679543863554552</v>
      </c>
      <c r="G183" s="360">
        <f t="shared" si="8"/>
        <v>175514.08978351418</v>
      </c>
    </row>
    <row r="184" spans="1:7" ht="15">
      <c r="A184" s="357" t="s">
        <v>219</v>
      </c>
      <c r="B184" s="602">
        <v>0.078876</v>
      </c>
      <c r="C184" s="360">
        <f t="shared" si="7"/>
        <v>3386143.73770552</v>
      </c>
      <c r="F184" s="359">
        <v>0.05021108129191206</v>
      </c>
      <c r="G184" s="360">
        <f t="shared" si="8"/>
        <v>239506.64964984532</v>
      </c>
    </row>
    <row r="185" spans="1:7" ht="15">
      <c r="A185" s="357" t="s">
        <v>220</v>
      </c>
      <c r="B185" s="602">
        <v>0.01987</v>
      </c>
      <c r="C185" s="360">
        <f t="shared" si="7"/>
        <v>853018.3587936593</v>
      </c>
      <c r="F185" s="359">
        <v>0.026168224602194118</v>
      </c>
      <c r="G185" s="360">
        <f t="shared" si="8"/>
        <v>124822.32289161487</v>
      </c>
    </row>
    <row r="186" spans="1:7" ht="15">
      <c r="A186" s="357" t="s">
        <v>221</v>
      </c>
      <c r="B186" s="602">
        <v>0.017214</v>
      </c>
      <c r="C186" s="360">
        <f t="shared" si="7"/>
        <v>738996.3778698567</v>
      </c>
      <c r="F186" s="359">
        <v>0.01699403457287652</v>
      </c>
      <c r="G186" s="360">
        <f t="shared" si="8"/>
        <v>81061.47447652985</v>
      </c>
    </row>
    <row r="187" spans="1:7" ht="15">
      <c r="A187" s="357" t="s">
        <v>222</v>
      </c>
      <c r="B187" s="602">
        <v>0.008698</v>
      </c>
      <c r="C187" s="360">
        <f t="shared" si="7"/>
        <v>373404.81554037484</v>
      </c>
      <c r="F187" s="359">
        <v>0.00874877206742641</v>
      </c>
      <c r="G187" s="360">
        <f t="shared" si="8"/>
        <v>41731.606500116795</v>
      </c>
    </row>
    <row r="188" spans="1:7" ht="15">
      <c r="A188" s="369" t="s">
        <v>182</v>
      </c>
      <c r="B188" s="602">
        <v>0.011945</v>
      </c>
      <c r="C188" s="360">
        <f t="shared" si="7"/>
        <v>512798.40441823157</v>
      </c>
      <c r="D188" s="371"/>
      <c r="E188" s="371"/>
      <c r="F188" s="370">
        <v>0.008039011364921843</v>
      </c>
      <c r="G188" s="360">
        <f t="shared" si="8"/>
        <v>38346.050890953455</v>
      </c>
    </row>
    <row r="189" spans="1:7" ht="15">
      <c r="A189" s="369" t="s">
        <v>223</v>
      </c>
      <c r="B189" s="602">
        <v>0.006875</v>
      </c>
      <c r="C189" s="360">
        <f t="shared" si="7"/>
        <v>295143.4935433522</v>
      </c>
      <c r="D189" s="371"/>
      <c r="E189" s="371"/>
      <c r="F189" s="370">
        <v>0.011227588162479527</v>
      </c>
      <c r="G189" s="360">
        <f t="shared" si="8"/>
        <v>53555.54899943747</v>
      </c>
    </row>
    <row r="190" spans="1:7" ht="15">
      <c r="A190" s="369" t="s">
        <v>224</v>
      </c>
      <c r="B190" s="602">
        <v>0.04438</v>
      </c>
      <c r="C190" s="360">
        <f t="shared" si="7"/>
        <v>1905231.7445023959</v>
      </c>
      <c r="D190" s="371"/>
      <c r="E190" s="371"/>
      <c r="F190" s="370">
        <v>0.03623852357589962</v>
      </c>
      <c r="G190" s="360">
        <f t="shared" si="8"/>
        <v>172857.60725727913</v>
      </c>
    </row>
    <row r="191" spans="1:7" ht="15">
      <c r="A191" s="369" t="s">
        <v>225</v>
      </c>
      <c r="B191" s="602">
        <v>0.004888</v>
      </c>
      <c r="C191" s="360">
        <f t="shared" si="7"/>
        <v>209841.65766398626</v>
      </c>
      <c r="D191" s="371"/>
      <c r="E191" s="371"/>
      <c r="F191" s="370">
        <v>0.01060107876087326</v>
      </c>
      <c r="G191" s="360">
        <f t="shared" si="8"/>
        <v>50567.10175050287</v>
      </c>
    </row>
    <row r="192" spans="1:7" ht="15">
      <c r="A192" s="357" t="s">
        <v>226</v>
      </c>
      <c r="B192" s="602">
        <v>0.004969</v>
      </c>
      <c r="C192" s="360">
        <f t="shared" si="7"/>
        <v>213318.98464246068</v>
      </c>
      <c r="F192" s="359">
        <v>0.004778920301902801</v>
      </c>
      <c r="G192" s="360">
        <f t="shared" si="8"/>
        <v>22795.430032627784</v>
      </c>
    </row>
    <row r="193" spans="1:7" ht="15">
      <c r="A193" s="357" t="s">
        <v>227</v>
      </c>
      <c r="B193" s="602">
        <v>0.000616</v>
      </c>
      <c r="C193" s="360">
        <f t="shared" si="7"/>
        <v>26444.857021484357</v>
      </c>
      <c r="F193" s="359">
        <v>0.0001346929181122374</v>
      </c>
      <c r="G193" s="360">
        <f t="shared" si="8"/>
        <v>642.4846611263741</v>
      </c>
    </row>
    <row r="194" spans="1:7" ht="15">
      <c r="A194" s="357" t="s">
        <v>228</v>
      </c>
      <c r="B194" s="602">
        <v>0.001603</v>
      </c>
      <c r="C194" s="360">
        <f t="shared" si="7"/>
        <v>68816.73020363542</v>
      </c>
      <c r="F194" s="359">
        <v>0.0018416391597867153</v>
      </c>
      <c r="G194" s="360">
        <f t="shared" si="8"/>
        <v>8784.611159041535</v>
      </c>
    </row>
    <row r="195" spans="1:7" ht="15">
      <c r="A195" s="357" t="s">
        <v>229</v>
      </c>
      <c r="B195" s="602">
        <v>0.006608</v>
      </c>
      <c r="C195" s="360">
        <f t="shared" si="7"/>
        <v>283681.1935031958</v>
      </c>
      <c r="F195" s="359">
        <v>0.010395359420215399</v>
      </c>
      <c r="G195" s="360">
        <f t="shared" si="8"/>
        <v>49585.82134822091</v>
      </c>
    </row>
    <row r="196" spans="1:7" ht="15">
      <c r="A196" s="357" t="s">
        <v>230</v>
      </c>
      <c r="B196" s="602">
        <v>0.009682</v>
      </c>
      <c r="C196" s="360">
        <f t="shared" si="7"/>
        <v>415647.8988344343</v>
      </c>
      <c r="F196" s="359">
        <v>0.007889818201444748</v>
      </c>
      <c r="G196" s="360">
        <f t="shared" si="8"/>
        <v>37634.40011953665</v>
      </c>
    </row>
    <row r="197" spans="1:7" ht="15">
      <c r="A197" s="357" t="s">
        <v>231</v>
      </c>
      <c r="B197" s="602">
        <v>0.012472</v>
      </c>
      <c r="C197" s="360">
        <f t="shared" si="7"/>
        <v>535422.4947596638</v>
      </c>
      <c r="F197" s="359">
        <v>0.01168966076297842</v>
      </c>
      <c r="G197" s="360">
        <f t="shared" si="8"/>
        <v>55759.63338863997</v>
      </c>
    </row>
    <row r="198" spans="1:7" ht="15">
      <c r="A198" s="357" t="s">
        <v>232</v>
      </c>
      <c r="B198" s="602">
        <v>0.002955</v>
      </c>
      <c r="C198" s="360">
        <f t="shared" si="7"/>
        <v>126858.03977026993</v>
      </c>
      <c r="F198" s="359">
        <v>0.007492203057426227</v>
      </c>
      <c r="G198" s="360">
        <f t="shared" si="8"/>
        <v>35737.777530585234</v>
      </c>
    </row>
    <row r="199" spans="1:7" ht="15">
      <c r="A199" s="357" t="s">
        <v>233</v>
      </c>
      <c r="B199" s="602">
        <v>0.002861</v>
      </c>
      <c r="C199" s="360">
        <f t="shared" si="7"/>
        <v>122822.62327673171</v>
      </c>
      <c r="F199" s="359">
        <v>0.0019451561143185648</v>
      </c>
      <c r="G199" s="360">
        <f t="shared" si="8"/>
        <v>9278.386603106155</v>
      </c>
    </row>
    <row r="200" spans="1:7" ht="15">
      <c r="A200" s="357" t="s">
        <v>234</v>
      </c>
      <c r="B200" s="602">
        <v>0.001588</v>
      </c>
      <c r="C200" s="360">
        <f t="shared" si="7"/>
        <v>68172.7807631772</v>
      </c>
      <c r="F200" s="359">
        <v>0.0006785211378795488</v>
      </c>
      <c r="G200" s="360">
        <f t="shared" si="8"/>
        <v>3236.5430153823127</v>
      </c>
    </row>
    <row r="201" spans="1:7" ht="15">
      <c r="A201" s="357" t="s">
        <v>235</v>
      </c>
      <c r="B201" s="602">
        <v>0.012609</v>
      </c>
      <c r="C201" s="360">
        <f t="shared" si="7"/>
        <v>541303.8996491822</v>
      </c>
      <c r="F201" s="359">
        <v>0.01595320532739675</v>
      </c>
      <c r="G201" s="360">
        <f t="shared" si="8"/>
        <v>76096.72328957243</v>
      </c>
    </row>
    <row r="202" spans="1:7" ht="15">
      <c r="A202" s="357" t="s">
        <v>236</v>
      </c>
      <c r="B202" s="602">
        <v>0.001505</v>
      </c>
      <c r="C202" s="360">
        <f t="shared" si="7"/>
        <v>64609.59385930837</v>
      </c>
      <c r="F202" s="359">
        <v>0.0010230331094156929</v>
      </c>
      <c r="G202" s="360">
        <f t="shared" si="8"/>
        <v>4879.863691692381</v>
      </c>
    </row>
    <row r="203" spans="1:7" ht="15">
      <c r="A203" s="357" t="s">
        <v>237</v>
      </c>
      <c r="B203" s="602">
        <v>0.010447</v>
      </c>
      <c r="C203" s="360">
        <f t="shared" si="7"/>
        <v>448489.3202978037</v>
      </c>
      <c r="F203" s="359">
        <v>0.014754682312891742</v>
      </c>
      <c r="G203" s="360">
        <f t="shared" si="8"/>
        <v>70379.77347796649</v>
      </c>
    </row>
    <row r="204" spans="1:7" ht="15">
      <c r="A204" s="357" t="s">
        <v>238</v>
      </c>
      <c r="B204" s="602">
        <v>0.003336</v>
      </c>
      <c r="C204" s="360">
        <f t="shared" si="7"/>
        <v>143214.3555579088</v>
      </c>
      <c r="F204" s="359">
        <v>0.0035840196399687546</v>
      </c>
      <c r="G204" s="360">
        <f t="shared" si="8"/>
        <v>17095.758827771566</v>
      </c>
    </row>
    <row r="205" spans="1:7" ht="15">
      <c r="A205" s="357" t="s">
        <v>239</v>
      </c>
      <c r="B205" s="602">
        <v>0.003843</v>
      </c>
      <c r="C205" s="360">
        <f t="shared" si="7"/>
        <v>164979.84664539673</v>
      </c>
      <c r="F205" s="359">
        <v>0</v>
      </c>
      <c r="G205" s="360">
        <f t="shared" si="8"/>
        <v>0</v>
      </c>
    </row>
    <row r="206" spans="1:7" ht="15">
      <c r="A206" s="357" t="s">
        <v>140</v>
      </c>
      <c r="B206" s="363">
        <v>0</v>
      </c>
      <c r="C206" s="364">
        <f t="shared" si="7"/>
        <v>0</v>
      </c>
      <c r="F206" s="359">
        <v>0</v>
      </c>
      <c r="G206" s="360">
        <f t="shared" si="8"/>
        <v>0</v>
      </c>
    </row>
    <row r="207" spans="1:7" ht="15.75" thickBot="1">
      <c r="A207" s="357" t="s">
        <v>141</v>
      </c>
      <c r="B207" s="384">
        <f>SUM(B147:B206)</f>
        <v>0.9999999999999998</v>
      </c>
      <c r="C207" s="362">
        <f>SUM(C147:C206)</f>
        <v>42929962.697214864</v>
      </c>
      <c r="F207" s="385">
        <f>SUM(F147:F206)</f>
        <v>0.9999999999999998</v>
      </c>
      <c r="G207" s="368">
        <f>SUM(G147:G206)</f>
        <v>4769995.855246097</v>
      </c>
    </row>
    <row r="209" ht="30.75" customHeight="1"/>
    <row r="210" ht="30.75" customHeight="1"/>
    <row r="211" ht="30.75" customHeight="1"/>
    <row r="212" ht="31.5" customHeight="1"/>
    <row r="214" spans="1:7" ht="15.75">
      <c r="A214" s="678" t="s">
        <v>158</v>
      </c>
      <c r="B214" s="678"/>
      <c r="C214" s="678"/>
      <c r="D214" s="678"/>
      <c r="E214" s="678"/>
      <c r="F214" s="678"/>
      <c r="G214" s="678"/>
    </row>
    <row r="216" spans="1:7" ht="15">
      <c r="A216" s="676" t="s">
        <v>146</v>
      </c>
      <c r="B216" s="676"/>
      <c r="C216" s="676"/>
      <c r="D216" s="676"/>
      <c r="E216" s="676"/>
      <c r="F216" s="676"/>
      <c r="G216" s="676"/>
    </row>
    <row r="217" spans="1:7" ht="15" customHeight="1">
      <c r="A217" s="677" t="s">
        <v>263</v>
      </c>
      <c r="B217" s="677"/>
      <c r="C217" s="677"/>
      <c r="D217" s="677"/>
      <c r="E217" s="677"/>
      <c r="F217" s="677"/>
      <c r="G217" s="677"/>
    </row>
    <row r="218" spans="1:7" ht="15">
      <c r="A218" s="358"/>
      <c r="B218" s="358"/>
      <c r="C218" s="358"/>
      <c r="D218" s="358"/>
      <c r="E218" s="358"/>
      <c r="F218" s="358"/>
      <c r="G218" s="358"/>
    </row>
    <row r="219" spans="2:7" ht="15">
      <c r="B219" s="372" t="s">
        <v>85</v>
      </c>
      <c r="C219" s="376">
        <f>B23</f>
        <v>11776521.351081958</v>
      </c>
      <c r="D219" s="358"/>
      <c r="E219" s="358"/>
      <c r="F219" s="323" t="s">
        <v>86</v>
      </c>
      <c r="G219" s="373">
        <f>B24</f>
        <v>88323910.13311468</v>
      </c>
    </row>
    <row r="220" spans="1:6" ht="15.75" thickBot="1">
      <c r="A220" s="358"/>
      <c r="B220" s="358"/>
      <c r="C220" s="358"/>
      <c r="D220" s="358"/>
      <c r="E220" s="358"/>
      <c r="F220" s="374"/>
    </row>
    <row r="221" spans="1:7" ht="15.75" customHeight="1" thickBot="1">
      <c r="A221" s="358"/>
      <c r="B221" s="672" t="s">
        <v>85</v>
      </c>
      <c r="C221" s="673"/>
      <c r="D221" s="358"/>
      <c r="E221" s="358"/>
      <c r="F221" s="672" t="s">
        <v>86</v>
      </c>
      <c r="G221" s="673"/>
    </row>
    <row r="222" spans="1:7" ht="6" customHeight="1" thickBot="1">
      <c r="A222" s="358"/>
      <c r="B222" s="365"/>
      <c r="C222" s="366"/>
      <c r="D222" s="358"/>
      <c r="E222" s="358"/>
      <c r="F222" s="365"/>
      <c r="G222" s="366"/>
    </row>
    <row r="223" spans="1:7" ht="15">
      <c r="A223" s="377"/>
      <c r="B223" s="494" t="s">
        <v>272</v>
      </c>
      <c r="C223" s="360"/>
      <c r="F223" s="494" t="s">
        <v>272</v>
      </c>
      <c r="G223" s="360"/>
    </row>
    <row r="224" spans="1:7" ht="15">
      <c r="A224" s="369" t="s">
        <v>183</v>
      </c>
      <c r="B224" s="359" t="s">
        <v>271</v>
      </c>
      <c r="C224" s="360" t="str">
        <f>IF(B224="TBD","TBD",C$219*B224)</f>
        <v>TBD</v>
      </c>
      <c r="F224" s="359" t="s">
        <v>271</v>
      </c>
      <c r="G224" s="360" t="str">
        <f>IF(F224&lt;&gt;0,"TBD",G$219*F224)</f>
        <v>TBD</v>
      </c>
    </row>
    <row r="225" spans="1:7" ht="15">
      <c r="A225" s="357" t="s">
        <v>184</v>
      </c>
      <c r="B225" s="359" t="s">
        <v>271</v>
      </c>
      <c r="C225" s="360" t="str">
        <f aca="true" t="shared" si="9" ref="C225:C282">IF(B225="TBD","TBD",C$219*B225)</f>
        <v>TBD</v>
      </c>
      <c r="F225" s="359" t="s">
        <v>271</v>
      </c>
      <c r="G225" s="360" t="str">
        <f aca="true" t="shared" si="10" ref="G225:G282">IF(F225&lt;&gt;0,"TBD",G$219*F225)</f>
        <v>TBD</v>
      </c>
    </row>
    <row r="226" spans="1:7" ht="15">
      <c r="A226" s="357" t="s">
        <v>185</v>
      </c>
      <c r="B226" s="359" t="s">
        <v>271</v>
      </c>
      <c r="C226" s="360" t="str">
        <f t="shared" si="9"/>
        <v>TBD</v>
      </c>
      <c r="F226" s="359" t="s">
        <v>271</v>
      </c>
      <c r="G226" s="360" t="str">
        <f t="shared" si="10"/>
        <v>TBD</v>
      </c>
    </row>
    <row r="227" spans="1:7" ht="15">
      <c r="A227" s="357" t="s">
        <v>186</v>
      </c>
      <c r="B227" s="359" t="s">
        <v>271</v>
      </c>
      <c r="C227" s="360" t="str">
        <f t="shared" si="9"/>
        <v>TBD</v>
      </c>
      <c r="F227" s="359" t="s">
        <v>271</v>
      </c>
      <c r="G227" s="360" t="str">
        <f t="shared" si="10"/>
        <v>TBD</v>
      </c>
    </row>
    <row r="228" spans="1:7" ht="15">
      <c r="A228" s="357" t="s">
        <v>187</v>
      </c>
      <c r="B228" s="359" t="s">
        <v>271</v>
      </c>
      <c r="C228" s="360" t="str">
        <f t="shared" si="9"/>
        <v>TBD</v>
      </c>
      <c r="F228" s="359" t="s">
        <v>271</v>
      </c>
      <c r="G228" s="360" t="str">
        <f t="shared" si="10"/>
        <v>TBD</v>
      </c>
    </row>
    <row r="229" spans="1:7" ht="15">
      <c r="A229" s="357" t="s">
        <v>188</v>
      </c>
      <c r="B229" s="359" t="s">
        <v>271</v>
      </c>
      <c r="C229" s="360" t="str">
        <f t="shared" si="9"/>
        <v>TBD</v>
      </c>
      <c r="F229" s="359" t="s">
        <v>271</v>
      </c>
      <c r="G229" s="360" t="str">
        <f t="shared" si="10"/>
        <v>TBD</v>
      </c>
    </row>
    <row r="230" spans="1:7" ht="15">
      <c r="A230" s="357" t="s">
        <v>189</v>
      </c>
      <c r="B230" s="359" t="s">
        <v>271</v>
      </c>
      <c r="C230" s="360" t="str">
        <f t="shared" si="9"/>
        <v>TBD</v>
      </c>
      <c r="F230" s="359" t="s">
        <v>271</v>
      </c>
      <c r="G230" s="360" t="str">
        <f t="shared" si="10"/>
        <v>TBD</v>
      </c>
    </row>
    <row r="231" spans="1:7" ht="15">
      <c r="A231" s="357" t="s">
        <v>190</v>
      </c>
      <c r="B231" s="359" t="s">
        <v>271</v>
      </c>
      <c r="C231" s="360" t="str">
        <f t="shared" si="9"/>
        <v>TBD</v>
      </c>
      <c r="F231" s="359" t="s">
        <v>271</v>
      </c>
      <c r="G231" s="360" t="str">
        <f t="shared" si="10"/>
        <v>TBD</v>
      </c>
    </row>
    <row r="232" spans="1:7" ht="15">
      <c r="A232" s="357" t="s">
        <v>191</v>
      </c>
      <c r="B232" s="359" t="s">
        <v>271</v>
      </c>
      <c r="C232" s="360" t="str">
        <f t="shared" si="9"/>
        <v>TBD</v>
      </c>
      <c r="F232" s="359" t="s">
        <v>271</v>
      </c>
      <c r="G232" s="360" t="str">
        <f t="shared" si="10"/>
        <v>TBD</v>
      </c>
    </row>
    <row r="233" spans="1:7" ht="15">
      <c r="A233" s="357" t="s">
        <v>192</v>
      </c>
      <c r="B233" s="359" t="s">
        <v>271</v>
      </c>
      <c r="C233" s="360" t="str">
        <f t="shared" si="9"/>
        <v>TBD</v>
      </c>
      <c r="F233" s="359" t="s">
        <v>271</v>
      </c>
      <c r="G233" s="360" t="str">
        <f t="shared" si="10"/>
        <v>TBD</v>
      </c>
    </row>
    <row r="234" spans="1:7" ht="15">
      <c r="A234" s="357" t="s">
        <v>193</v>
      </c>
      <c r="B234" s="359" t="s">
        <v>271</v>
      </c>
      <c r="C234" s="360" t="str">
        <f t="shared" si="9"/>
        <v>TBD</v>
      </c>
      <c r="F234" s="359" t="s">
        <v>271</v>
      </c>
      <c r="G234" s="360" t="str">
        <f t="shared" si="10"/>
        <v>TBD</v>
      </c>
    </row>
    <row r="235" spans="1:7" ht="15">
      <c r="A235" s="357" t="s">
        <v>194</v>
      </c>
      <c r="B235" s="359" t="s">
        <v>271</v>
      </c>
      <c r="C235" s="360" t="str">
        <f t="shared" si="9"/>
        <v>TBD</v>
      </c>
      <c r="F235" s="359" t="s">
        <v>271</v>
      </c>
      <c r="G235" s="360" t="str">
        <f t="shared" si="10"/>
        <v>TBD</v>
      </c>
    </row>
    <row r="236" spans="1:7" ht="15">
      <c r="A236" s="357" t="s">
        <v>195</v>
      </c>
      <c r="B236" s="359" t="s">
        <v>271</v>
      </c>
      <c r="C236" s="360" t="str">
        <f t="shared" si="9"/>
        <v>TBD</v>
      </c>
      <c r="F236" s="359" t="s">
        <v>271</v>
      </c>
      <c r="G236" s="360" t="str">
        <f t="shared" si="10"/>
        <v>TBD</v>
      </c>
    </row>
    <row r="237" spans="1:7" ht="15">
      <c r="A237" s="357" t="s">
        <v>196</v>
      </c>
      <c r="B237" s="359" t="s">
        <v>271</v>
      </c>
      <c r="C237" s="360" t="str">
        <f t="shared" si="9"/>
        <v>TBD</v>
      </c>
      <c r="F237" s="359" t="s">
        <v>271</v>
      </c>
      <c r="G237" s="360" t="str">
        <f t="shared" si="10"/>
        <v>TBD</v>
      </c>
    </row>
    <row r="238" spans="1:7" ht="15">
      <c r="A238" s="357" t="s">
        <v>197</v>
      </c>
      <c r="B238" s="359" t="s">
        <v>271</v>
      </c>
      <c r="C238" s="360" t="str">
        <f t="shared" si="9"/>
        <v>TBD</v>
      </c>
      <c r="F238" s="359" t="s">
        <v>271</v>
      </c>
      <c r="G238" s="360" t="str">
        <f t="shared" si="10"/>
        <v>TBD</v>
      </c>
    </row>
    <row r="239" spans="1:7" ht="15">
      <c r="A239" s="357" t="s">
        <v>198</v>
      </c>
      <c r="B239" s="359" t="s">
        <v>271</v>
      </c>
      <c r="C239" s="360" t="str">
        <f t="shared" si="9"/>
        <v>TBD</v>
      </c>
      <c r="F239" s="359" t="s">
        <v>271</v>
      </c>
      <c r="G239" s="360" t="str">
        <f t="shared" si="10"/>
        <v>TBD</v>
      </c>
    </row>
    <row r="240" spans="1:7" ht="15">
      <c r="A240" s="357" t="s">
        <v>199</v>
      </c>
      <c r="B240" s="359" t="s">
        <v>271</v>
      </c>
      <c r="C240" s="360" t="str">
        <f t="shared" si="9"/>
        <v>TBD</v>
      </c>
      <c r="F240" s="359" t="s">
        <v>271</v>
      </c>
      <c r="G240" s="360" t="str">
        <f t="shared" si="10"/>
        <v>TBD</v>
      </c>
    </row>
    <row r="241" spans="1:7" ht="15">
      <c r="A241" s="357" t="s">
        <v>200</v>
      </c>
      <c r="B241" s="359" t="s">
        <v>271</v>
      </c>
      <c r="C241" s="360" t="str">
        <f t="shared" si="9"/>
        <v>TBD</v>
      </c>
      <c r="F241" s="359" t="s">
        <v>271</v>
      </c>
      <c r="G241" s="360" t="str">
        <f t="shared" si="10"/>
        <v>TBD</v>
      </c>
    </row>
    <row r="242" spans="1:7" ht="15">
      <c r="A242" s="357" t="s">
        <v>201</v>
      </c>
      <c r="B242" s="359" t="s">
        <v>271</v>
      </c>
      <c r="C242" s="360" t="str">
        <f t="shared" si="9"/>
        <v>TBD</v>
      </c>
      <c r="F242" s="359" t="s">
        <v>271</v>
      </c>
      <c r="G242" s="360" t="str">
        <f t="shared" si="10"/>
        <v>TBD</v>
      </c>
    </row>
    <row r="243" spans="1:7" ht="15">
      <c r="A243" s="357" t="s">
        <v>202</v>
      </c>
      <c r="B243" s="359" t="s">
        <v>271</v>
      </c>
      <c r="C243" s="360" t="str">
        <f t="shared" si="9"/>
        <v>TBD</v>
      </c>
      <c r="F243" s="359" t="s">
        <v>271</v>
      </c>
      <c r="G243" s="360" t="str">
        <f t="shared" si="10"/>
        <v>TBD</v>
      </c>
    </row>
    <row r="244" spans="1:7" ht="15">
      <c r="A244" s="357" t="s">
        <v>203</v>
      </c>
      <c r="B244" s="359" t="s">
        <v>271</v>
      </c>
      <c r="C244" s="360" t="str">
        <f t="shared" si="9"/>
        <v>TBD</v>
      </c>
      <c r="F244" s="359" t="s">
        <v>271</v>
      </c>
      <c r="G244" s="360" t="str">
        <f t="shared" si="10"/>
        <v>TBD</v>
      </c>
    </row>
    <row r="245" spans="1:7" ht="15">
      <c r="A245" s="357" t="s">
        <v>204</v>
      </c>
      <c r="B245" s="359" t="s">
        <v>271</v>
      </c>
      <c r="C245" s="360" t="str">
        <f t="shared" si="9"/>
        <v>TBD</v>
      </c>
      <c r="F245" s="359" t="s">
        <v>271</v>
      </c>
      <c r="G245" s="360" t="str">
        <f t="shared" si="10"/>
        <v>TBD</v>
      </c>
    </row>
    <row r="246" spans="1:7" ht="15">
      <c r="A246" s="357" t="s">
        <v>205</v>
      </c>
      <c r="B246" s="359" t="s">
        <v>271</v>
      </c>
      <c r="C246" s="360" t="str">
        <f t="shared" si="9"/>
        <v>TBD</v>
      </c>
      <c r="F246" s="359" t="s">
        <v>271</v>
      </c>
      <c r="G246" s="360" t="str">
        <f t="shared" si="10"/>
        <v>TBD</v>
      </c>
    </row>
    <row r="247" spans="1:7" ht="15">
      <c r="A247" s="357" t="s">
        <v>206</v>
      </c>
      <c r="B247" s="359" t="s">
        <v>271</v>
      </c>
      <c r="C247" s="360" t="str">
        <f t="shared" si="9"/>
        <v>TBD</v>
      </c>
      <c r="F247" s="359" t="s">
        <v>271</v>
      </c>
      <c r="G247" s="360" t="str">
        <f t="shared" si="10"/>
        <v>TBD</v>
      </c>
    </row>
    <row r="248" spans="1:7" ht="15">
      <c r="A248" s="357" t="s">
        <v>207</v>
      </c>
      <c r="B248" s="359" t="s">
        <v>271</v>
      </c>
      <c r="C248" s="360" t="str">
        <f t="shared" si="9"/>
        <v>TBD</v>
      </c>
      <c r="F248" s="359" t="s">
        <v>271</v>
      </c>
      <c r="G248" s="360" t="str">
        <f t="shared" si="10"/>
        <v>TBD</v>
      </c>
    </row>
    <row r="249" spans="1:7" ht="15">
      <c r="A249" s="357" t="s">
        <v>208</v>
      </c>
      <c r="B249" s="359" t="s">
        <v>271</v>
      </c>
      <c r="C249" s="360" t="str">
        <f t="shared" si="9"/>
        <v>TBD</v>
      </c>
      <c r="F249" s="359" t="s">
        <v>271</v>
      </c>
      <c r="G249" s="360" t="str">
        <f t="shared" si="10"/>
        <v>TBD</v>
      </c>
    </row>
    <row r="250" spans="1:7" ht="15">
      <c r="A250" s="357" t="s">
        <v>209</v>
      </c>
      <c r="B250" s="359" t="s">
        <v>271</v>
      </c>
      <c r="C250" s="360" t="str">
        <f t="shared" si="9"/>
        <v>TBD</v>
      </c>
      <c r="F250" s="359" t="s">
        <v>271</v>
      </c>
      <c r="G250" s="360" t="str">
        <f t="shared" si="10"/>
        <v>TBD</v>
      </c>
    </row>
    <row r="251" spans="1:7" ht="15">
      <c r="A251" s="357" t="s">
        <v>210</v>
      </c>
      <c r="B251" s="359" t="s">
        <v>271</v>
      </c>
      <c r="C251" s="360" t="str">
        <f t="shared" si="9"/>
        <v>TBD</v>
      </c>
      <c r="F251" s="359" t="s">
        <v>271</v>
      </c>
      <c r="G251" s="360" t="str">
        <f t="shared" si="10"/>
        <v>TBD</v>
      </c>
    </row>
    <row r="252" spans="1:7" ht="15">
      <c r="A252" s="357" t="s">
        <v>211</v>
      </c>
      <c r="B252" s="359" t="s">
        <v>271</v>
      </c>
      <c r="C252" s="360" t="str">
        <f t="shared" si="9"/>
        <v>TBD</v>
      </c>
      <c r="F252" s="359" t="s">
        <v>271</v>
      </c>
      <c r="G252" s="360" t="str">
        <f t="shared" si="10"/>
        <v>TBD</v>
      </c>
    </row>
    <row r="253" spans="1:7" ht="15">
      <c r="A253" s="357" t="s">
        <v>212</v>
      </c>
      <c r="B253" s="359" t="s">
        <v>271</v>
      </c>
      <c r="C253" s="360" t="str">
        <f t="shared" si="9"/>
        <v>TBD</v>
      </c>
      <c r="F253" s="359" t="s">
        <v>271</v>
      </c>
      <c r="G253" s="360" t="str">
        <f t="shared" si="10"/>
        <v>TBD</v>
      </c>
    </row>
    <row r="254" spans="1:7" ht="15">
      <c r="A254" s="357" t="s">
        <v>213</v>
      </c>
      <c r="B254" s="359" t="s">
        <v>271</v>
      </c>
      <c r="C254" s="360" t="str">
        <f t="shared" si="9"/>
        <v>TBD</v>
      </c>
      <c r="F254" s="359" t="s">
        <v>271</v>
      </c>
      <c r="G254" s="360" t="str">
        <f t="shared" si="10"/>
        <v>TBD</v>
      </c>
    </row>
    <row r="255" spans="1:7" ht="15">
      <c r="A255" s="357" t="s">
        <v>214</v>
      </c>
      <c r="B255" s="359" t="s">
        <v>271</v>
      </c>
      <c r="C255" s="360" t="str">
        <f t="shared" si="9"/>
        <v>TBD</v>
      </c>
      <c r="F255" s="359" t="s">
        <v>271</v>
      </c>
      <c r="G255" s="360" t="str">
        <f t="shared" si="10"/>
        <v>TBD</v>
      </c>
    </row>
    <row r="256" spans="1:7" ht="15">
      <c r="A256" s="357" t="s">
        <v>215</v>
      </c>
      <c r="B256" s="359" t="s">
        <v>271</v>
      </c>
      <c r="C256" s="360" t="str">
        <f t="shared" si="9"/>
        <v>TBD</v>
      </c>
      <c r="F256" s="359" t="s">
        <v>271</v>
      </c>
      <c r="G256" s="360" t="str">
        <f t="shared" si="10"/>
        <v>TBD</v>
      </c>
    </row>
    <row r="257" spans="1:7" ht="15">
      <c r="A257" s="357" t="s">
        <v>216</v>
      </c>
      <c r="B257" s="359" t="s">
        <v>271</v>
      </c>
      <c r="C257" s="360" t="str">
        <f t="shared" si="9"/>
        <v>TBD</v>
      </c>
      <c r="F257" s="359" t="s">
        <v>271</v>
      </c>
      <c r="G257" s="360" t="str">
        <f t="shared" si="10"/>
        <v>TBD</v>
      </c>
    </row>
    <row r="258" spans="1:7" ht="15">
      <c r="A258" s="357" t="s">
        <v>217</v>
      </c>
      <c r="B258" s="359" t="s">
        <v>271</v>
      </c>
      <c r="C258" s="360" t="str">
        <f t="shared" si="9"/>
        <v>TBD</v>
      </c>
      <c r="F258" s="359" t="s">
        <v>271</v>
      </c>
      <c r="G258" s="360" t="str">
        <f t="shared" si="10"/>
        <v>TBD</v>
      </c>
    </row>
    <row r="259" spans="1:7" ht="15">
      <c r="A259" s="357" t="s">
        <v>218</v>
      </c>
      <c r="B259" s="359" t="s">
        <v>271</v>
      </c>
      <c r="C259" s="360" t="str">
        <f t="shared" si="9"/>
        <v>TBD</v>
      </c>
      <c r="F259" s="359" t="s">
        <v>271</v>
      </c>
      <c r="G259" s="360" t="str">
        <f t="shared" si="10"/>
        <v>TBD</v>
      </c>
    </row>
    <row r="260" spans="1:7" ht="15">
      <c r="A260" s="357" t="s">
        <v>219</v>
      </c>
      <c r="B260" s="359" t="s">
        <v>271</v>
      </c>
      <c r="C260" s="360" t="str">
        <f t="shared" si="9"/>
        <v>TBD</v>
      </c>
      <c r="F260" s="359" t="s">
        <v>271</v>
      </c>
      <c r="G260" s="360" t="str">
        <f t="shared" si="10"/>
        <v>TBD</v>
      </c>
    </row>
    <row r="261" spans="1:7" ht="15">
      <c r="A261" s="357" t="s">
        <v>220</v>
      </c>
      <c r="B261" s="359" t="s">
        <v>271</v>
      </c>
      <c r="C261" s="360" t="str">
        <f t="shared" si="9"/>
        <v>TBD</v>
      </c>
      <c r="F261" s="359" t="s">
        <v>271</v>
      </c>
      <c r="G261" s="360" t="str">
        <f t="shared" si="10"/>
        <v>TBD</v>
      </c>
    </row>
    <row r="262" spans="1:7" ht="15">
      <c r="A262" s="357" t="s">
        <v>221</v>
      </c>
      <c r="B262" s="359" t="s">
        <v>271</v>
      </c>
      <c r="C262" s="360" t="str">
        <f t="shared" si="9"/>
        <v>TBD</v>
      </c>
      <c r="F262" s="359" t="s">
        <v>271</v>
      </c>
      <c r="G262" s="360" t="str">
        <f t="shared" si="10"/>
        <v>TBD</v>
      </c>
    </row>
    <row r="263" spans="1:7" ht="15">
      <c r="A263" s="357" t="s">
        <v>222</v>
      </c>
      <c r="B263" s="359" t="s">
        <v>271</v>
      </c>
      <c r="C263" s="360" t="str">
        <f t="shared" si="9"/>
        <v>TBD</v>
      </c>
      <c r="F263" s="359" t="s">
        <v>271</v>
      </c>
      <c r="G263" s="360" t="str">
        <f t="shared" si="10"/>
        <v>TBD</v>
      </c>
    </row>
    <row r="264" spans="1:7" ht="15">
      <c r="A264" s="369" t="s">
        <v>182</v>
      </c>
      <c r="B264" s="370" t="s">
        <v>271</v>
      </c>
      <c r="C264" s="360" t="str">
        <f t="shared" si="9"/>
        <v>TBD</v>
      </c>
      <c r="D264" s="371"/>
      <c r="E264" s="371"/>
      <c r="F264" s="370" t="s">
        <v>271</v>
      </c>
      <c r="G264" s="360" t="str">
        <f t="shared" si="10"/>
        <v>TBD</v>
      </c>
    </row>
    <row r="265" spans="1:7" ht="15">
      <c r="A265" s="369" t="s">
        <v>223</v>
      </c>
      <c r="B265" s="370" t="s">
        <v>271</v>
      </c>
      <c r="C265" s="360" t="str">
        <f t="shared" si="9"/>
        <v>TBD</v>
      </c>
      <c r="D265" s="371"/>
      <c r="E265" s="371"/>
      <c r="F265" s="370" t="s">
        <v>271</v>
      </c>
      <c r="G265" s="360" t="str">
        <f t="shared" si="10"/>
        <v>TBD</v>
      </c>
    </row>
    <row r="266" spans="1:7" ht="15">
      <c r="A266" s="369" t="s">
        <v>224</v>
      </c>
      <c r="B266" s="370" t="s">
        <v>271</v>
      </c>
      <c r="C266" s="360" t="str">
        <f t="shared" si="9"/>
        <v>TBD</v>
      </c>
      <c r="D266" s="371"/>
      <c r="E266" s="371"/>
      <c r="F266" s="370" t="s">
        <v>271</v>
      </c>
      <c r="G266" s="360" t="str">
        <f t="shared" si="10"/>
        <v>TBD</v>
      </c>
    </row>
    <row r="267" spans="1:7" ht="15">
      <c r="A267" s="369" t="s">
        <v>225</v>
      </c>
      <c r="B267" s="370" t="s">
        <v>271</v>
      </c>
      <c r="C267" s="360" t="str">
        <f t="shared" si="9"/>
        <v>TBD</v>
      </c>
      <c r="D267" s="371"/>
      <c r="E267" s="371"/>
      <c r="F267" s="370" t="s">
        <v>271</v>
      </c>
      <c r="G267" s="360" t="str">
        <f t="shared" si="10"/>
        <v>TBD</v>
      </c>
    </row>
    <row r="268" spans="1:7" ht="15">
      <c r="A268" s="357" t="s">
        <v>226</v>
      </c>
      <c r="B268" s="359" t="s">
        <v>271</v>
      </c>
      <c r="C268" s="360" t="str">
        <f t="shared" si="9"/>
        <v>TBD</v>
      </c>
      <c r="F268" s="359" t="s">
        <v>271</v>
      </c>
      <c r="G268" s="360" t="str">
        <f t="shared" si="10"/>
        <v>TBD</v>
      </c>
    </row>
    <row r="269" spans="1:7" ht="15">
      <c r="A269" s="357" t="s">
        <v>227</v>
      </c>
      <c r="B269" s="359" t="s">
        <v>271</v>
      </c>
      <c r="C269" s="360" t="str">
        <f t="shared" si="9"/>
        <v>TBD</v>
      </c>
      <c r="F269" s="359" t="s">
        <v>271</v>
      </c>
      <c r="G269" s="360" t="str">
        <f t="shared" si="10"/>
        <v>TBD</v>
      </c>
    </row>
    <row r="270" spans="1:7" ht="15">
      <c r="A270" s="357" t="s">
        <v>228</v>
      </c>
      <c r="B270" s="359" t="s">
        <v>271</v>
      </c>
      <c r="C270" s="360" t="str">
        <f t="shared" si="9"/>
        <v>TBD</v>
      </c>
      <c r="F270" s="359" t="s">
        <v>271</v>
      </c>
      <c r="G270" s="360" t="str">
        <f t="shared" si="10"/>
        <v>TBD</v>
      </c>
    </row>
    <row r="271" spans="1:7" ht="15">
      <c r="A271" s="357" t="s">
        <v>229</v>
      </c>
      <c r="B271" s="359" t="s">
        <v>271</v>
      </c>
      <c r="C271" s="360" t="str">
        <f t="shared" si="9"/>
        <v>TBD</v>
      </c>
      <c r="F271" s="359" t="s">
        <v>271</v>
      </c>
      <c r="G271" s="360" t="str">
        <f t="shared" si="10"/>
        <v>TBD</v>
      </c>
    </row>
    <row r="272" spans="1:7" ht="15">
      <c r="A272" s="357" t="s">
        <v>230</v>
      </c>
      <c r="B272" s="359" t="s">
        <v>271</v>
      </c>
      <c r="C272" s="360" t="str">
        <f t="shared" si="9"/>
        <v>TBD</v>
      </c>
      <c r="F272" s="359" t="s">
        <v>271</v>
      </c>
      <c r="G272" s="360" t="str">
        <f t="shared" si="10"/>
        <v>TBD</v>
      </c>
    </row>
    <row r="273" spans="1:7" ht="15">
      <c r="A273" s="357" t="s">
        <v>231</v>
      </c>
      <c r="B273" s="359" t="s">
        <v>271</v>
      </c>
      <c r="C273" s="360" t="str">
        <f t="shared" si="9"/>
        <v>TBD</v>
      </c>
      <c r="F273" s="359" t="s">
        <v>271</v>
      </c>
      <c r="G273" s="360" t="str">
        <f t="shared" si="10"/>
        <v>TBD</v>
      </c>
    </row>
    <row r="274" spans="1:7" ht="15">
      <c r="A274" s="357" t="s">
        <v>232</v>
      </c>
      <c r="B274" s="359" t="s">
        <v>271</v>
      </c>
      <c r="C274" s="360" t="str">
        <f t="shared" si="9"/>
        <v>TBD</v>
      </c>
      <c r="F274" s="359" t="s">
        <v>271</v>
      </c>
      <c r="G274" s="360" t="str">
        <f t="shared" si="10"/>
        <v>TBD</v>
      </c>
    </row>
    <row r="275" spans="1:7" ht="15">
      <c r="A275" s="357" t="s">
        <v>233</v>
      </c>
      <c r="B275" s="359" t="s">
        <v>271</v>
      </c>
      <c r="C275" s="360" t="str">
        <f t="shared" si="9"/>
        <v>TBD</v>
      </c>
      <c r="F275" s="359" t="s">
        <v>271</v>
      </c>
      <c r="G275" s="360" t="str">
        <f t="shared" si="10"/>
        <v>TBD</v>
      </c>
    </row>
    <row r="276" spans="1:7" ht="15">
      <c r="A276" s="357" t="s">
        <v>234</v>
      </c>
      <c r="B276" s="359" t="s">
        <v>271</v>
      </c>
      <c r="C276" s="360" t="str">
        <f t="shared" si="9"/>
        <v>TBD</v>
      </c>
      <c r="F276" s="359" t="s">
        <v>271</v>
      </c>
      <c r="G276" s="360" t="str">
        <f t="shared" si="10"/>
        <v>TBD</v>
      </c>
    </row>
    <row r="277" spans="1:7" ht="15">
      <c r="A277" s="357" t="s">
        <v>235</v>
      </c>
      <c r="B277" s="359" t="s">
        <v>271</v>
      </c>
      <c r="C277" s="360" t="str">
        <f t="shared" si="9"/>
        <v>TBD</v>
      </c>
      <c r="F277" s="359" t="s">
        <v>271</v>
      </c>
      <c r="G277" s="360" t="str">
        <f t="shared" si="10"/>
        <v>TBD</v>
      </c>
    </row>
    <row r="278" spans="1:7" ht="15">
      <c r="A278" s="357" t="s">
        <v>236</v>
      </c>
      <c r="B278" s="359" t="s">
        <v>271</v>
      </c>
      <c r="C278" s="360" t="str">
        <f t="shared" si="9"/>
        <v>TBD</v>
      </c>
      <c r="F278" s="359" t="s">
        <v>271</v>
      </c>
      <c r="G278" s="360" t="str">
        <f t="shared" si="10"/>
        <v>TBD</v>
      </c>
    </row>
    <row r="279" spans="1:7" ht="15">
      <c r="A279" s="357" t="s">
        <v>237</v>
      </c>
      <c r="B279" s="359" t="s">
        <v>271</v>
      </c>
      <c r="C279" s="360" t="str">
        <f t="shared" si="9"/>
        <v>TBD</v>
      </c>
      <c r="F279" s="359" t="s">
        <v>271</v>
      </c>
      <c r="G279" s="360" t="str">
        <f t="shared" si="10"/>
        <v>TBD</v>
      </c>
    </row>
    <row r="280" spans="1:7" ht="15">
      <c r="A280" s="357" t="s">
        <v>238</v>
      </c>
      <c r="B280" s="359" t="s">
        <v>271</v>
      </c>
      <c r="C280" s="360" t="str">
        <f t="shared" si="9"/>
        <v>TBD</v>
      </c>
      <c r="F280" s="359" t="s">
        <v>271</v>
      </c>
      <c r="G280" s="360" t="str">
        <f t="shared" si="10"/>
        <v>TBD</v>
      </c>
    </row>
    <row r="281" spans="1:7" ht="15">
      <c r="A281" s="357" t="s">
        <v>239</v>
      </c>
      <c r="B281" s="359" t="s">
        <v>271</v>
      </c>
      <c r="C281" s="360" t="str">
        <f t="shared" si="9"/>
        <v>TBD</v>
      </c>
      <c r="F281" s="359" t="s">
        <v>271</v>
      </c>
      <c r="G281" s="360" t="str">
        <f t="shared" si="10"/>
        <v>TBD</v>
      </c>
    </row>
    <row r="282" spans="1:7" ht="15">
      <c r="A282" s="357" t="s">
        <v>140</v>
      </c>
      <c r="B282" s="359" t="s">
        <v>271</v>
      </c>
      <c r="C282" s="360" t="str">
        <f t="shared" si="9"/>
        <v>TBD</v>
      </c>
      <c r="F282" s="359" t="s">
        <v>271</v>
      </c>
      <c r="G282" s="360" t="str">
        <f t="shared" si="10"/>
        <v>TBD</v>
      </c>
    </row>
    <row r="283" spans="1:7" ht="15">
      <c r="A283" s="357" t="s">
        <v>141</v>
      </c>
      <c r="B283" s="385">
        <f>SUM(B224:B282)</f>
        <v>0</v>
      </c>
      <c r="C283" s="368">
        <f>SUM(C224:C282)</f>
        <v>0</v>
      </c>
      <c r="F283" s="385">
        <f>SUM(F224:F282)</f>
        <v>0</v>
      </c>
      <c r="G283" s="368">
        <f>SUM(G224:G282)</f>
        <v>0</v>
      </c>
    </row>
    <row r="293" spans="1:7" ht="15">
      <c r="A293" s="676" t="s">
        <v>146</v>
      </c>
      <c r="B293" s="676"/>
      <c r="C293" s="676"/>
      <c r="D293" s="676"/>
      <c r="E293" s="676"/>
      <c r="F293" s="676"/>
      <c r="G293" s="676"/>
    </row>
    <row r="294" spans="1:7" ht="15" customHeight="1">
      <c r="A294" s="677" t="s">
        <v>244</v>
      </c>
      <c r="B294" s="677"/>
      <c r="C294" s="677"/>
      <c r="D294" s="677"/>
      <c r="E294" s="677"/>
      <c r="F294" s="677"/>
      <c r="G294" s="677"/>
    </row>
    <row r="295" spans="1:7" ht="15">
      <c r="A295" s="358"/>
      <c r="B295" s="358"/>
      <c r="C295" s="358"/>
      <c r="D295" s="358"/>
      <c r="E295" s="358"/>
      <c r="F295" s="358"/>
      <c r="G295" s="358"/>
    </row>
    <row r="296" spans="2:7" ht="15">
      <c r="B296" s="372" t="s">
        <v>157</v>
      </c>
      <c r="C296" s="376">
        <f>B25</f>
        <v>5888260.675540979</v>
      </c>
      <c r="D296" s="358"/>
      <c r="E296" s="358"/>
      <c r="F296" s="323" t="s">
        <v>105</v>
      </c>
      <c r="G296" s="373">
        <f>B26</f>
        <v>11776521.351081958</v>
      </c>
    </row>
    <row r="297" spans="1:6" ht="15.75" thickBot="1">
      <c r="A297" s="358"/>
      <c r="B297" s="358"/>
      <c r="C297" s="358"/>
      <c r="D297" s="358"/>
      <c r="E297" s="358"/>
      <c r="F297" s="374"/>
    </row>
    <row r="298" spans="1:7" ht="15.75" customHeight="1" thickBot="1">
      <c r="A298" s="358"/>
      <c r="B298" s="674" t="s">
        <v>156</v>
      </c>
      <c r="C298" s="675"/>
      <c r="D298" s="358"/>
      <c r="E298" s="358"/>
      <c r="F298" s="674" t="s">
        <v>105</v>
      </c>
      <c r="G298" s="675"/>
    </row>
    <row r="299" spans="1:7" ht="6" customHeight="1" thickBot="1">
      <c r="A299" s="358"/>
      <c r="B299" s="365"/>
      <c r="C299" s="366"/>
      <c r="D299" s="358"/>
      <c r="E299" s="358"/>
      <c r="F299" s="365"/>
      <c r="G299" s="366"/>
    </row>
    <row r="300" spans="1:7" ht="15">
      <c r="A300" s="377"/>
      <c r="B300" s="494" t="s">
        <v>272</v>
      </c>
      <c r="C300" s="360"/>
      <c r="F300" s="494" t="s">
        <v>272</v>
      </c>
      <c r="G300" s="360"/>
    </row>
    <row r="301" spans="1:7" ht="15">
      <c r="A301" s="369" t="s">
        <v>183</v>
      </c>
      <c r="B301" s="359" t="s">
        <v>271</v>
      </c>
      <c r="C301" s="360" t="str">
        <f>IF(B301="TBD","TBD",C$296*B301)</f>
        <v>TBD</v>
      </c>
      <c r="F301" s="417" t="str">
        <f>IF(G301="TBD","TBD",G301/G$296)</f>
        <v>TBD</v>
      </c>
      <c r="G301" s="360" t="str">
        <f>IF(G378="TBD","TBD",C378+G378)</f>
        <v>TBD</v>
      </c>
    </row>
    <row r="302" spans="1:7" ht="15">
      <c r="A302" s="357" t="s">
        <v>184</v>
      </c>
      <c r="B302" s="359" t="s">
        <v>271</v>
      </c>
      <c r="C302" s="360" t="str">
        <f aca="true" t="shared" si="11" ref="C302:C359">IF(B302="TBD","TBD",C$296*B302)</f>
        <v>TBD</v>
      </c>
      <c r="F302" s="417" t="str">
        <f aca="true" t="shared" si="12" ref="F302:F359">IF(G302="TBD","TBD",G302/G$296)</f>
        <v>TBD</v>
      </c>
      <c r="G302" s="360" t="str">
        <f aca="true" t="shared" si="13" ref="G302:G359">IF(G379="TBD","TBD",C379+G379)</f>
        <v>TBD</v>
      </c>
    </row>
    <row r="303" spans="1:7" ht="15">
      <c r="A303" s="357" t="s">
        <v>185</v>
      </c>
      <c r="B303" s="359" t="s">
        <v>271</v>
      </c>
      <c r="C303" s="360" t="str">
        <f t="shared" si="11"/>
        <v>TBD</v>
      </c>
      <c r="F303" s="417" t="str">
        <f t="shared" si="12"/>
        <v>TBD</v>
      </c>
      <c r="G303" s="360" t="str">
        <f t="shared" si="13"/>
        <v>TBD</v>
      </c>
    </row>
    <row r="304" spans="1:7" ht="15">
      <c r="A304" s="357" t="s">
        <v>186</v>
      </c>
      <c r="B304" s="359" t="s">
        <v>271</v>
      </c>
      <c r="C304" s="360" t="str">
        <f t="shared" si="11"/>
        <v>TBD</v>
      </c>
      <c r="F304" s="417" t="str">
        <f t="shared" si="12"/>
        <v>TBD</v>
      </c>
      <c r="G304" s="360" t="str">
        <f t="shared" si="13"/>
        <v>TBD</v>
      </c>
    </row>
    <row r="305" spans="1:7" ht="15">
      <c r="A305" s="357" t="s">
        <v>187</v>
      </c>
      <c r="B305" s="359" t="s">
        <v>271</v>
      </c>
      <c r="C305" s="360" t="str">
        <f t="shared" si="11"/>
        <v>TBD</v>
      </c>
      <c r="F305" s="417" t="str">
        <f t="shared" si="12"/>
        <v>TBD</v>
      </c>
      <c r="G305" s="360" t="str">
        <f t="shared" si="13"/>
        <v>TBD</v>
      </c>
    </row>
    <row r="306" spans="1:7" ht="15">
      <c r="A306" s="357" t="s">
        <v>188</v>
      </c>
      <c r="B306" s="359" t="s">
        <v>271</v>
      </c>
      <c r="C306" s="360" t="str">
        <f t="shared" si="11"/>
        <v>TBD</v>
      </c>
      <c r="F306" s="417" t="str">
        <f t="shared" si="12"/>
        <v>TBD</v>
      </c>
      <c r="G306" s="360" t="str">
        <f t="shared" si="13"/>
        <v>TBD</v>
      </c>
    </row>
    <row r="307" spans="1:7" ht="15">
      <c r="A307" s="357" t="s">
        <v>189</v>
      </c>
      <c r="B307" s="359" t="s">
        <v>271</v>
      </c>
      <c r="C307" s="360" t="str">
        <f t="shared" si="11"/>
        <v>TBD</v>
      </c>
      <c r="F307" s="417" t="str">
        <f t="shared" si="12"/>
        <v>TBD</v>
      </c>
      <c r="G307" s="360" t="str">
        <f t="shared" si="13"/>
        <v>TBD</v>
      </c>
    </row>
    <row r="308" spans="1:7" ht="15">
      <c r="A308" s="357" t="s">
        <v>190</v>
      </c>
      <c r="B308" s="359" t="s">
        <v>271</v>
      </c>
      <c r="C308" s="360" t="str">
        <f t="shared" si="11"/>
        <v>TBD</v>
      </c>
      <c r="F308" s="417" t="str">
        <f t="shared" si="12"/>
        <v>TBD</v>
      </c>
      <c r="G308" s="360" t="str">
        <f t="shared" si="13"/>
        <v>TBD</v>
      </c>
    </row>
    <row r="309" spans="1:7" ht="15">
      <c r="A309" s="357" t="s">
        <v>191</v>
      </c>
      <c r="B309" s="359" t="s">
        <v>271</v>
      </c>
      <c r="C309" s="360" t="str">
        <f t="shared" si="11"/>
        <v>TBD</v>
      </c>
      <c r="F309" s="417" t="str">
        <f t="shared" si="12"/>
        <v>TBD</v>
      </c>
      <c r="G309" s="360" t="str">
        <f t="shared" si="13"/>
        <v>TBD</v>
      </c>
    </row>
    <row r="310" spans="1:7" ht="15">
      <c r="A310" s="357" t="s">
        <v>192</v>
      </c>
      <c r="B310" s="359" t="s">
        <v>271</v>
      </c>
      <c r="C310" s="360" t="str">
        <f t="shared" si="11"/>
        <v>TBD</v>
      </c>
      <c r="F310" s="417" t="str">
        <f t="shared" si="12"/>
        <v>TBD</v>
      </c>
      <c r="G310" s="360" t="str">
        <f t="shared" si="13"/>
        <v>TBD</v>
      </c>
    </row>
    <row r="311" spans="1:7" ht="15">
      <c r="A311" s="357" t="s">
        <v>193</v>
      </c>
      <c r="B311" s="359" t="s">
        <v>271</v>
      </c>
      <c r="C311" s="360" t="str">
        <f t="shared" si="11"/>
        <v>TBD</v>
      </c>
      <c r="F311" s="417" t="str">
        <f t="shared" si="12"/>
        <v>TBD</v>
      </c>
      <c r="G311" s="360" t="str">
        <f t="shared" si="13"/>
        <v>TBD</v>
      </c>
    </row>
    <row r="312" spans="1:7" ht="15">
      <c r="A312" s="357" t="s">
        <v>194</v>
      </c>
      <c r="B312" s="359" t="s">
        <v>271</v>
      </c>
      <c r="C312" s="360" t="str">
        <f t="shared" si="11"/>
        <v>TBD</v>
      </c>
      <c r="F312" s="417" t="str">
        <f t="shared" si="12"/>
        <v>TBD</v>
      </c>
      <c r="G312" s="360" t="str">
        <f t="shared" si="13"/>
        <v>TBD</v>
      </c>
    </row>
    <row r="313" spans="1:7" ht="15">
      <c r="A313" s="357" t="s">
        <v>195</v>
      </c>
      <c r="B313" s="359" t="s">
        <v>271</v>
      </c>
      <c r="C313" s="360" t="str">
        <f t="shared" si="11"/>
        <v>TBD</v>
      </c>
      <c r="F313" s="417" t="str">
        <f t="shared" si="12"/>
        <v>TBD</v>
      </c>
      <c r="G313" s="360" t="str">
        <f t="shared" si="13"/>
        <v>TBD</v>
      </c>
    </row>
    <row r="314" spans="1:7" ht="15">
      <c r="A314" s="357" t="s">
        <v>196</v>
      </c>
      <c r="B314" s="359" t="s">
        <v>271</v>
      </c>
      <c r="C314" s="360" t="str">
        <f t="shared" si="11"/>
        <v>TBD</v>
      </c>
      <c r="F314" s="417" t="str">
        <f t="shared" si="12"/>
        <v>TBD</v>
      </c>
      <c r="G314" s="360" t="str">
        <f t="shared" si="13"/>
        <v>TBD</v>
      </c>
    </row>
    <row r="315" spans="1:7" ht="15">
      <c r="A315" s="357" t="s">
        <v>197</v>
      </c>
      <c r="B315" s="359" t="s">
        <v>271</v>
      </c>
      <c r="C315" s="360" t="str">
        <f t="shared" si="11"/>
        <v>TBD</v>
      </c>
      <c r="F315" s="417" t="str">
        <f t="shared" si="12"/>
        <v>TBD</v>
      </c>
      <c r="G315" s="360" t="str">
        <f t="shared" si="13"/>
        <v>TBD</v>
      </c>
    </row>
    <row r="316" spans="1:7" ht="15">
      <c r="A316" s="357" t="s">
        <v>198</v>
      </c>
      <c r="B316" s="359" t="s">
        <v>271</v>
      </c>
      <c r="C316" s="360" t="str">
        <f t="shared" si="11"/>
        <v>TBD</v>
      </c>
      <c r="F316" s="417" t="str">
        <f t="shared" si="12"/>
        <v>TBD</v>
      </c>
      <c r="G316" s="360" t="str">
        <f t="shared" si="13"/>
        <v>TBD</v>
      </c>
    </row>
    <row r="317" spans="1:7" ht="15">
      <c r="A317" s="357" t="s">
        <v>199</v>
      </c>
      <c r="B317" s="359" t="s">
        <v>271</v>
      </c>
      <c r="C317" s="360" t="str">
        <f t="shared" si="11"/>
        <v>TBD</v>
      </c>
      <c r="F317" s="417" t="str">
        <f t="shared" si="12"/>
        <v>TBD</v>
      </c>
      <c r="G317" s="360" t="str">
        <f t="shared" si="13"/>
        <v>TBD</v>
      </c>
    </row>
    <row r="318" spans="1:7" ht="15">
      <c r="A318" s="357" t="s">
        <v>200</v>
      </c>
      <c r="B318" s="359" t="s">
        <v>271</v>
      </c>
      <c r="C318" s="360" t="str">
        <f t="shared" si="11"/>
        <v>TBD</v>
      </c>
      <c r="F318" s="417" t="str">
        <f t="shared" si="12"/>
        <v>TBD</v>
      </c>
      <c r="G318" s="360" t="str">
        <f t="shared" si="13"/>
        <v>TBD</v>
      </c>
    </row>
    <row r="319" spans="1:7" ht="15">
      <c r="A319" s="357" t="s">
        <v>201</v>
      </c>
      <c r="B319" s="359" t="s">
        <v>271</v>
      </c>
      <c r="C319" s="360" t="str">
        <f t="shared" si="11"/>
        <v>TBD</v>
      </c>
      <c r="F319" s="417" t="str">
        <f t="shared" si="12"/>
        <v>TBD</v>
      </c>
      <c r="G319" s="360" t="str">
        <f t="shared" si="13"/>
        <v>TBD</v>
      </c>
    </row>
    <row r="320" spans="1:7" ht="15">
      <c r="A320" s="357" t="s">
        <v>202</v>
      </c>
      <c r="B320" s="359" t="s">
        <v>271</v>
      </c>
      <c r="C320" s="360" t="str">
        <f t="shared" si="11"/>
        <v>TBD</v>
      </c>
      <c r="F320" s="417" t="str">
        <f t="shared" si="12"/>
        <v>TBD</v>
      </c>
      <c r="G320" s="360" t="str">
        <f t="shared" si="13"/>
        <v>TBD</v>
      </c>
    </row>
    <row r="321" spans="1:7" ht="15">
      <c r="A321" s="357" t="s">
        <v>203</v>
      </c>
      <c r="B321" s="359" t="s">
        <v>271</v>
      </c>
      <c r="C321" s="360" t="str">
        <f t="shared" si="11"/>
        <v>TBD</v>
      </c>
      <c r="F321" s="417" t="str">
        <f t="shared" si="12"/>
        <v>TBD</v>
      </c>
      <c r="G321" s="360" t="str">
        <f t="shared" si="13"/>
        <v>TBD</v>
      </c>
    </row>
    <row r="322" spans="1:7" ht="15">
      <c r="A322" s="357" t="s">
        <v>204</v>
      </c>
      <c r="B322" s="359" t="s">
        <v>271</v>
      </c>
      <c r="C322" s="360" t="str">
        <f t="shared" si="11"/>
        <v>TBD</v>
      </c>
      <c r="F322" s="417" t="str">
        <f t="shared" si="12"/>
        <v>TBD</v>
      </c>
      <c r="G322" s="360" t="str">
        <f t="shared" si="13"/>
        <v>TBD</v>
      </c>
    </row>
    <row r="323" spans="1:7" ht="15">
      <c r="A323" s="357" t="s">
        <v>205</v>
      </c>
      <c r="B323" s="359" t="s">
        <v>271</v>
      </c>
      <c r="C323" s="360" t="str">
        <f t="shared" si="11"/>
        <v>TBD</v>
      </c>
      <c r="F323" s="417" t="str">
        <f t="shared" si="12"/>
        <v>TBD</v>
      </c>
      <c r="G323" s="360" t="str">
        <f t="shared" si="13"/>
        <v>TBD</v>
      </c>
    </row>
    <row r="324" spans="1:7" ht="15">
      <c r="A324" s="357" t="s">
        <v>206</v>
      </c>
      <c r="B324" s="359" t="s">
        <v>271</v>
      </c>
      <c r="C324" s="360" t="str">
        <f t="shared" si="11"/>
        <v>TBD</v>
      </c>
      <c r="F324" s="417" t="str">
        <f t="shared" si="12"/>
        <v>TBD</v>
      </c>
      <c r="G324" s="360" t="str">
        <f t="shared" si="13"/>
        <v>TBD</v>
      </c>
    </row>
    <row r="325" spans="1:7" ht="15">
      <c r="A325" s="357" t="s">
        <v>207</v>
      </c>
      <c r="B325" s="359" t="s">
        <v>271</v>
      </c>
      <c r="C325" s="360" t="str">
        <f t="shared" si="11"/>
        <v>TBD</v>
      </c>
      <c r="F325" s="417" t="str">
        <f t="shared" si="12"/>
        <v>TBD</v>
      </c>
      <c r="G325" s="360" t="str">
        <f t="shared" si="13"/>
        <v>TBD</v>
      </c>
    </row>
    <row r="326" spans="1:7" ht="15">
      <c r="A326" s="357" t="s">
        <v>208</v>
      </c>
      <c r="B326" s="359" t="s">
        <v>271</v>
      </c>
      <c r="C326" s="360" t="str">
        <f t="shared" si="11"/>
        <v>TBD</v>
      </c>
      <c r="F326" s="417" t="str">
        <f t="shared" si="12"/>
        <v>TBD</v>
      </c>
      <c r="G326" s="360" t="str">
        <f t="shared" si="13"/>
        <v>TBD</v>
      </c>
    </row>
    <row r="327" spans="1:7" ht="15">
      <c r="A327" s="357" t="s">
        <v>209</v>
      </c>
      <c r="B327" s="359" t="s">
        <v>271</v>
      </c>
      <c r="C327" s="360" t="str">
        <f t="shared" si="11"/>
        <v>TBD</v>
      </c>
      <c r="F327" s="417" t="str">
        <f t="shared" si="12"/>
        <v>TBD</v>
      </c>
      <c r="G327" s="360" t="str">
        <f t="shared" si="13"/>
        <v>TBD</v>
      </c>
    </row>
    <row r="328" spans="1:7" ht="15">
      <c r="A328" s="357" t="s">
        <v>210</v>
      </c>
      <c r="B328" s="359" t="s">
        <v>271</v>
      </c>
      <c r="C328" s="360" t="str">
        <f t="shared" si="11"/>
        <v>TBD</v>
      </c>
      <c r="F328" s="417" t="str">
        <f t="shared" si="12"/>
        <v>TBD</v>
      </c>
      <c r="G328" s="360" t="str">
        <f t="shared" si="13"/>
        <v>TBD</v>
      </c>
    </row>
    <row r="329" spans="1:7" ht="15">
      <c r="A329" s="357" t="s">
        <v>211</v>
      </c>
      <c r="B329" s="359" t="s">
        <v>271</v>
      </c>
      <c r="C329" s="360" t="str">
        <f t="shared" si="11"/>
        <v>TBD</v>
      </c>
      <c r="F329" s="417" t="str">
        <f t="shared" si="12"/>
        <v>TBD</v>
      </c>
      <c r="G329" s="360" t="str">
        <f t="shared" si="13"/>
        <v>TBD</v>
      </c>
    </row>
    <row r="330" spans="1:7" ht="15">
      <c r="A330" s="357" t="s">
        <v>212</v>
      </c>
      <c r="B330" s="359" t="s">
        <v>271</v>
      </c>
      <c r="C330" s="360" t="str">
        <f t="shared" si="11"/>
        <v>TBD</v>
      </c>
      <c r="F330" s="417" t="str">
        <f t="shared" si="12"/>
        <v>TBD</v>
      </c>
      <c r="G330" s="360" t="str">
        <f t="shared" si="13"/>
        <v>TBD</v>
      </c>
    </row>
    <row r="331" spans="1:7" ht="15">
      <c r="A331" s="357" t="s">
        <v>213</v>
      </c>
      <c r="B331" s="359" t="s">
        <v>271</v>
      </c>
      <c r="C331" s="360" t="str">
        <f t="shared" si="11"/>
        <v>TBD</v>
      </c>
      <c r="F331" s="417" t="str">
        <f t="shared" si="12"/>
        <v>TBD</v>
      </c>
      <c r="G331" s="360" t="str">
        <f t="shared" si="13"/>
        <v>TBD</v>
      </c>
    </row>
    <row r="332" spans="1:7" ht="15">
      <c r="A332" s="357" t="s">
        <v>214</v>
      </c>
      <c r="B332" s="359" t="s">
        <v>271</v>
      </c>
      <c r="C332" s="360" t="str">
        <f t="shared" si="11"/>
        <v>TBD</v>
      </c>
      <c r="F332" s="417" t="str">
        <f t="shared" si="12"/>
        <v>TBD</v>
      </c>
      <c r="G332" s="360" t="str">
        <f t="shared" si="13"/>
        <v>TBD</v>
      </c>
    </row>
    <row r="333" spans="1:7" ht="15">
      <c r="A333" s="357" t="s">
        <v>215</v>
      </c>
      <c r="B333" s="359" t="s">
        <v>271</v>
      </c>
      <c r="C333" s="360" t="str">
        <f t="shared" si="11"/>
        <v>TBD</v>
      </c>
      <c r="F333" s="417" t="str">
        <f t="shared" si="12"/>
        <v>TBD</v>
      </c>
      <c r="G333" s="360" t="str">
        <f t="shared" si="13"/>
        <v>TBD</v>
      </c>
    </row>
    <row r="334" spans="1:7" ht="15">
      <c r="A334" s="357" t="s">
        <v>216</v>
      </c>
      <c r="B334" s="359" t="s">
        <v>271</v>
      </c>
      <c r="C334" s="360" t="str">
        <f t="shared" si="11"/>
        <v>TBD</v>
      </c>
      <c r="F334" s="417" t="str">
        <f t="shared" si="12"/>
        <v>TBD</v>
      </c>
      <c r="G334" s="360" t="str">
        <f t="shared" si="13"/>
        <v>TBD</v>
      </c>
    </row>
    <row r="335" spans="1:7" ht="15">
      <c r="A335" s="357" t="s">
        <v>217</v>
      </c>
      <c r="B335" s="359" t="s">
        <v>271</v>
      </c>
      <c r="C335" s="360" t="str">
        <f t="shared" si="11"/>
        <v>TBD</v>
      </c>
      <c r="F335" s="417" t="str">
        <f t="shared" si="12"/>
        <v>TBD</v>
      </c>
      <c r="G335" s="360" t="str">
        <f t="shared" si="13"/>
        <v>TBD</v>
      </c>
    </row>
    <row r="336" spans="1:7" ht="15">
      <c r="A336" s="357" t="s">
        <v>218</v>
      </c>
      <c r="B336" s="359" t="s">
        <v>271</v>
      </c>
      <c r="C336" s="360" t="str">
        <f t="shared" si="11"/>
        <v>TBD</v>
      </c>
      <c r="F336" s="417" t="str">
        <f t="shared" si="12"/>
        <v>TBD</v>
      </c>
      <c r="G336" s="360" t="str">
        <f t="shared" si="13"/>
        <v>TBD</v>
      </c>
    </row>
    <row r="337" spans="1:7" ht="15">
      <c r="A337" s="357" t="s">
        <v>219</v>
      </c>
      <c r="B337" s="359" t="s">
        <v>271</v>
      </c>
      <c r="C337" s="360" t="str">
        <f t="shared" si="11"/>
        <v>TBD</v>
      </c>
      <c r="F337" s="417" t="str">
        <f t="shared" si="12"/>
        <v>TBD</v>
      </c>
      <c r="G337" s="360" t="str">
        <f t="shared" si="13"/>
        <v>TBD</v>
      </c>
    </row>
    <row r="338" spans="1:7" ht="15">
      <c r="A338" s="357" t="s">
        <v>220</v>
      </c>
      <c r="B338" s="359" t="s">
        <v>271</v>
      </c>
      <c r="C338" s="360" t="str">
        <f t="shared" si="11"/>
        <v>TBD</v>
      </c>
      <c r="F338" s="417" t="str">
        <f t="shared" si="12"/>
        <v>TBD</v>
      </c>
      <c r="G338" s="360" t="str">
        <f t="shared" si="13"/>
        <v>TBD</v>
      </c>
    </row>
    <row r="339" spans="1:7" ht="15">
      <c r="A339" s="357" t="s">
        <v>221</v>
      </c>
      <c r="B339" s="359" t="s">
        <v>271</v>
      </c>
      <c r="C339" s="360" t="str">
        <f t="shared" si="11"/>
        <v>TBD</v>
      </c>
      <c r="F339" s="417" t="str">
        <f t="shared" si="12"/>
        <v>TBD</v>
      </c>
      <c r="G339" s="360" t="str">
        <f t="shared" si="13"/>
        <v>TBD</v>
      </c>
    </row>
    <row r="340" spans="1:7" ht="15">
      <c r="A340" s="357" t="s">
        <v>222</v>
      </c>
      <c r="B340" s="359" t="s">
        <v>271</v>
      </c>
      <c r="C340" s="360" t="str">
        <f t="shared" si="11"/>
        <v>TBD</v>
      </c>
      <c r="F340" s="417" t="str">
        <f t="shared" si="12"/>
        <v>TBD</v>
      </c>
      <c r="G340" s="360" t="str">
        <f t="shared" si="13"/>
        <v>TBD</v>
      </c>
    </row>
    <row r="341" spans="1:7" ht="15">
      <c r="A341" s="369" t="s">
        <v>182</v>
      </c>
      <c r="B341" s="359" t="s">
        <v>271</v>
      </c>
      <c r="C341" s="360" t="str">
        <f t="shared" si="11"/>
        <v>TBD</v>
      </c>
      <c r="D341" s="371"/>
      <c r="E341" s="371"/>
      <c r="F341" s="417" t="str">
        <f t="shared" si="12"/>
        <v>TBD</v>
      </c>
      <c r="G341" s="360" t="str">
        <f t="shared" si="13"/>
        <v>TBD</v>
      </c>
    </row>
    <row r="342" spans="1:7" ht="15">
      <c r="A342" s="369" t="s">
        <v>223</v>
      </c>
      <c r="B342" s="359" t="s">
        <v>271</v>
      </c>
      <c r="C342" s="360" t="str">
        <f t="shared" si="11"/>
        <v>TBD</v>
      </c>
      <c r="D342" s="371"/>
      <c r="E342" s="371"/>
      <c r="F342" s="417" t="str">
        <f t="shared" si="12"/>
        <v>TBD</v>
      </c>
      <c r="G342" s="360" t="str">
        <f t="shared" si="13"/>
        <v>TBD</v>
      </c>
    </row>
    <row r="343" spans="1:7" ht="15">
      <c r="A343" s="369" t="s">
        <v>224</v>
      </c>
      <c r="B343" s="359" t="s">
        <v>271</v>
      </c>
      <c r="C343" s="360" t="str">
        <f t="shared" si="11"/>
        <v>TBD</v>
      </c>
      <c r="D343" s="371"/>
      <c r="E343" s="371"/>
      <c r="F343" s="417" t="str">
        <f t="shared" si="12"/>
        <v>TBD</v>
      </c>
      <c r="G343" s="360" t="str">
        <f t="shared" si="13"/>
        <v>TBD</v>
      </c>
    </row>
    <row r="344" spans="1:7" ht="15">
      <c r="A344" s="369" t="s">
        <v>225</v>
      </c>
      <c r="B344" s="359" t="s">
        <v>271</v>
      </c>
      <c r="C344" s="360" t="str">
        <f t="shared" si="11"/>
        <v>TBD</v>
      </c>
      <c r="D344" s="371"/>
      <c r="E344" s="371"/>
      <c r="F344" s="417" t="str">
        <f t="shared" si="12"/>
        <v>TBD</v>
      </c>
      <c r="G344" s="360" t="str">
        <f t="shared" si="13"/>
        <v>TBD</v>
      </c>
    </row>
    <row r="345" spans="1:7" ht="15">
      <c r="A345" s="357" t="s">
        <v>226</v>
      </c>
      <c r="B345" s="359" t="s">
        <v>271</v>
      </c>
      <c r="C345" s="360" t="str">
        <f t="shared" si="11"/>
        <v>TBD</v>
      </c>
      <c r="F345" s="417" t="str">
        <f t="shared" si="12"/>
        <v>TBD</v>
      </c>
      <c r="G345" s="360" t="str">
        <f t="shared" si="13"/>
        <v>TBD</v>
      </c>
    </row>
    <row r="346" spans="1:7" ht="15">
      <c r="A346" s="357" t="s">
        <v>227</v>
      </c>
      <c r="B346" s="359" t="s">
        <v>271</v>
      </c>
      <c r="C346" s="360" t="str">
        <f t="shared" si="11"/>
        <v>TBD</v>
      </c>
      <c r="F346" s="417" t="str">
        <f t="shared" si="12"/>
        <v>TBD</v>
      </c>
      <c r="G346" s="360" t="str">
        <f t="shared" si="13"/>
        <v>TBD</v>
      </c>
    </row>
    <row r="347" spans="1:7" ht="15">
      <c r="A347" s="357" t="s">
        <v>228</v>
      </c>
      <c r="B347" s="359" t="s">
        <v>271</v>
      </c>
      <c r="C347" s="360" t="str">
        <f t="shared" si="11"/>
        <v>TBD</v>
      </c>
      <c r="F347" s="417" t="str">
        <f t="shared" si="12"/>
        <v>TBD</v>
      </c>
      <c r="G347" s="360" t="str">
        <f t="shared" si="13"/>
        <v>TBD</v>
      </c>
    </row>
    <row r="348" spans="1:7" ht="15">
      <c r="A348" s="357" t="s">
        <v>229</v>
      </c>
      <c r="B348" s="359" t="s">
        <v>271</v>
      </c>
      <c r="C348" s="360" t="str">
        <f t="shared" si="11"/>
        <v>TBD</v>
      </c>
      <c r="F348" s="417" t="str">
        <f t="shared" si="12"/>
        <v>TBD</v>
      </c>
      <c r="G348" s="360" t="str">
        <f t="shared" si="13"/>
        <v>TBD</v>
      </c>
    </row>
    <row r="349" spans="1:7" ht="15">
      <c r="A349" s="357" t="s">
        <v>230</v>
      </c>
      <c r="B349" s="359" t="s">
        <v>271</v>
      </c>
      <c r="C349" s="360" t="str">
        <f t="shared" si="11"/>
        <v>TBD</v>
      </c>
      <c r="F349" s="417" t="str">
        <f t="shared" si="12"/>
        <v>TBD</v>
      </c>
      <c r="G349" s="360" t="str">
        <f t="shared" si="13"/>
        <v>TBD</v>
      </c>
    </row>
    <row r="350" spans="1:7" ht="15">
      <c r="A350" s="357" t="s">
        <v>231</v>
      </c>
      <c r="B350" s="359" t="s">
        <v>271</v>
      </c>
      <c r="C350" s="360" t="str">
        <f t="shared" si="11"/>
        <v>TBD</v>
      </c>
      <c r="F350" s="417" t="str">
        <f t="shared" si="12"/>
        <v>TBD</v>
      </c>
      <c r="G350" s="360" t="str">
        <f t="shared" si="13"/>
        <v>TBD</v>
      </c>
    </row>
    <row r="351" spans="1:7" ht="15">
      <c r="A351" s="357" t="s">
        <v>232</v>
      </c>
      <c r="B351" s="359" t="s">
        <v>271</v>
      </c>
      <c r="C351" s="360" t="str">
        <f t="shared" si="11"/>
        <v>TBD</v>
      </c>
      <c r="F351" s="417" t="str">
        <f t="shared" si="12"/>
        <v>TBD</v>
      </c>
      <c r="G351" s="360" t="str">
        <f t="shared" si="13"/>
        <v>TBD</v>
      </c>
    </row>
    <row r="352" spans="1:7" ht="15">
      <c r="A352" s="357" t="s">
        <v>233</v>
      </c>
      <c r="B352" s="359" t="s">
        <v>271</v>
      </c>
      <c r="C352" s="360" t="str">
        <f t="shared" si="11"/>
        <v>TBD</v>
      </c>
      <c r="F352" s="417" t="str">
        <f t="shared" si="12"/>
        <v>TBD</v>
      </c>
      <c r="G352" s="360" t="str">
        <f t="shared" si="13"/>
        <v>TBD</v>
      </c>
    </row>
    <row r="353" spans="1:7" ht="15">
      <c r="A353" s="357" t="s">
        <v>234</v>
      </c>
      <c r="B353" s="359" t="s">
        <v>271</v>
      </c>
      <c r="C353" s="360" t="str">
        <f t="shared" si="11"/>
        <v>TBD</v>
      </c>
      <c r="F353" s="417" t="str">
        <f t="shared" si="12"/>
        <v>TBD</v>
      </c>
      <c r="G353" s="360" t="str">
        <f t="shared" si="13"/>
        <v>TBD</v>
      </c>
    </row>
    <row r="354" spans="1:7" ht="15">
      <c r="A354" s="357" t="s">
        <v>235</v>
      </c>
      <c r="B354" s="359" t="s">
        <v>271</v>
      </c>
      <c r="C354" s="360" t="str">
        <f t="shared" si="11"/>
        <v>TBD</v>
      </c>
      <c r="F354" s="417" t="str">
        <f t="shared" si="12"/>
        <v>TBD</v>
      </c>
      <c r="G354" s="360" t="str">
        <f t="shared" si="13"/>
        <v>TBD</v>
      </c>
    </row>
    <row r="355" spans="1:7" ht="15">
      <c r="A355" s="357" t="s">
        <v>236</v>
      </c>
      <c r="B355" s="359" t="s">
        <v>271</v>
      </c>
      <c r="C355" s="360" t="str">
        <f t="shared" si="11"/>
        <v>TBD</v>
      </c>
      <c r="F355" s="417" t="str">
        <f t="shared" si="12"/>
        <v>TBD</v>
      </c>
      <c r="G355" s="360" t="str">
        <f t="shared" si="13"/>
        <v>TBD</v>
      </c>
    </row>
    <row r="356" spans="1:7" ht="15">
      <c r="A356" s="357" t="s">
        <v>237</v>
      </c>
      <c r="B356" s="359" t="s">
        <v>271</v>
      </c>
      <c r="C356" s="360" t="str">
        <f t="shared" si="11"/>
        <v>TBD</v>
      </c>
      <c r="F356" s="417" t="str">
        <f t="shared" si="12"/>
        <v>TBD</v>
      </c>
      <c r="G356" s="360" t="str">
        <f t="shared" si="13"/>
        <v>TBD</v>
      </c>
    </row>
    <row r="357" spans="1:7" ht="15">
      <c r="A357" s="357" t="s">
        <v>238</v>
      </c>
      <c r="B357" s="359" t="s">
        <v>271</v>
      </c>
      <c r="C357" s="360" t="str">
        <f t="shared" si="11"/>
        <v>TBD</v>
      </c>
      <c r="F357" s="417" t="str">
        <f t="shared" si="12"/>
        <v>TBD</v>
      </c>
      <c r="G357" s="360" t="str">
        <f t="shared" si="13"/>
        <v>TBD</v>
      </c>
    </row>
    <row r="358" spans="1:7" ht="15">
      <c r="A358" s="357" t="s">
        <v>239</v>
      </c>
      <c r="B358" s="359" t="s">
        <v>271</v>
      </c>
      <c r="C358" s="360" t="str">
        <f t="shared" si="11"/>
        <v>TBD</v>
      </c>
      <c r="F358" s="417" t="str">
        <f t="shared" si="12"/>
        <v>TBD</v>
      </c>
      <c r="G358" s="360" t="str">
        <f t="shared" si="13"/>
        <v>TBD</v>
      </c>
    </row>
    <row r="359" spans="1:7" ht="15">
      <c r="A359" s="357" t="s">
        <v>140</v>
      </c>
      <c r="B359" s="359" t="s">
        <v>271</v>
      </c>
      <c r="C359" s="360" t="str">
        <f t="shared" si="11"/>
        <v>TBD</v>
      </c>
      <c r="F359" s="417" t="str">
        <f t="shared" si="12"/>
        <v>TBD</v>
      </c>
      <c r="G359" s="360" t="str">
        <f t="shared" si="13"/>
        <v>TBD</v>
      </c>
    </row>
    <row r="360" spans="1:7" ht="15">
      <c r="A360" s="357" t="s">
        <v>141</v>
      </c>
      <c r="B360" s="385">
        <f>SUM(B301:B359)</f>
        <v>0</v>
      </c>
      <c r="C360" s="368">
        <f>SUM(C301:C359)</f>
        <v>0</v>
      </c>
      <c r="F360" s="385">
        <f>SUM(F301:F359)</f>
        <v>0</v>
      </c>
      <c r="G360" s="368">
        <f>SUM(G301:G359)</f>
        <v>0</v>
      </c>
    </row>
    <row r="370" spans="1:7" ht="15">
      <c r="A370" s="676" t="s">
        <v>162</v>
      </c>
      <c r="B370" s="676"/>
      <c r="C370" s="676"/>
      <c r="D370" s="676"/>
      <c r="E370" s="676"/>
      <c r="F370" s="676"/>
      <c r="G370" s="676"/>
    </row>
    <row r="371" spans="1:7" ht="15" customHeight="1">
      <c r="A371" s="677" t="s">
        <v>244</v>
      </c>
      <c r="B371" s="677"/>
      <c r="C371" s="677"/>
      <c r="D371" s="677"/>
      <c r="E371" s="677"/>
      <c r="F371" s="677"/>
      <c r="G371" s="677"/>
    </row>
    <row r="372" spans="1:7" ht="15">
      <c r="A372" s="358"/>
      <c r="B372" s="358"/>
      <c r="C372" s="358"/>
      <c r="D372" s="358"/>
      <c r="E372" s="358"/>
      <c r="F372" s="358"/>
      <c r="G372" s="358"/>
    </row>
    <row r="373" spans="2:7" ht="15">
      <c r="B373" s="372" t="s">
        <v>163</v>
      </c>
      <c r="C373" s="376">
        <f>B27</f>
        <v>11126575.137715746</v>
      </c>
      <c r="D373" s="358"/>
      <c r="E373" s="358"/>
      <c r="F373" s="323" t="s">
        <v>164</v>
      </c>
      <c r="G373" s="373">
        <f>B28</f>
        <v>649946.2133662133</v>
      </c>
    </row>
    <row r="374" spans="1:6" ht="15.75" thickBot="1">
      <c r="A374" s="358"/>
      <c r="B374" s="358"/>
      <c r="C374" s="358"/>
      <c r="D374" s="358"/>
      <c r="E374" s="358"/>
      <c r="F374" s="374"/>
    </row>
    <row r="375" spans="1:7" ht="15.75" thickBot="1">
      <c r="A375" s="358"/>
      <c r="B375" s="672" t="s">
        <v>165</v>
      </c>
      <c r="C375" s="673"/>
      <c r="D375" s="358"/>
      <c r="E375" s="358"/>
      <c r="F375" s="674" t="s">
        <v>166</v>
      </c>
      <c r="G375" s="675"/>
    </row>
    <row r="376" spans="1:7" ht="6" customHeight="1" thickBot="1">
      <c r="A376" s="358"/>
      <c r="B376" s="365"/>
      <c r="C376" s="366"/>
      <c r="D376" s="358"/>
      <c r="E376" s="358"/>
      <c r="F376" s="365"/>
      <c r="G376" s="366"/>
    </row>
    <row r="377" spans="1:7" ht="15">
      <c r="A377" s="377"/>
      <c r="B377" s="494" t="s">
        <v>272</v>
      </c>
      <c r="C377" s="360"/>
      <c r="F377" s="494" t="s">
        <v>272</v>
      </c>
      <c r="G377" s="360"/>
    </row>
    <row r="378" spans="1:7" ht="15">
      <c r="A378" s="369" t="s">
        <v>183</v>
      </c>
      <c r="B378" s="359" t="s">
        <v>271</v>
      </c>
      <c r="C378" s="360" t="str">
        <f>IF(B378="TBD","TBD",C$373*B378)</f>
        <v>TBD</v>
      </c>
      <c r="F378" s="359" t="s">
        <v>271</v>
      </c>
      <c r="G378" s="360" t="str">
        <f>IF(F378="TBD","TBD",G$373*F378)</f>
        <v>TBD</v>
      </c>
    </row>
    <row r="379" spans="1:7" ht="15">
      <c r="A379" s="357" t="s">
        <v>184</v>
      </c>
      <c r="B379" s="359" t="s">
        <v>271</v>
      </c>
      <c r="C379" s="360" t="str">
        <f>IF(B379="TBD","TBD",C$373*B379)</f>
        <v>TBD</v>
      </c>
      <c r="F379" s="359" t="s">
        <v>271</v>
      </c>
      <c r="G379" s="360" t="str">
        <f aca="true" t="shared" si="14" ref="G379:G436">IF(F379="TBD","TBD",G$373*F379)</f>
        <v>TBD</v>
      </c>
    </row>
    <row r="380" spans="1:7" ht="15">
      <c r="A380" s="357" t="s">
        <v>185</v>
      </c>
      <c r="B380" s="359" t="s">
        <v>271</v>
      </c>
      <c r="C380" s="360" t="str">
        <f aca="true" t="shared" si="15" ref="C380:C436">IF(B380="TBD","TBD",C$373*B380)</f>
        <v>TBD</v>
      </c>
      <c r="F380" s="359" t="s">
        <v>271</v>
      </c>
      <c r="G380" s="360" t="str">
        <f t="shared" si="14"/>
        <v>TBD</v>
      </c>
    </row>
    <row r="381" spans="1:7" ht="15">
      <c r="A381" s="357" t="s">
        <v>186</v>
      </c>
      <c r="B381" s="359" t="s">
        <v>271</v>
      </c>
      <c r="C381" s="360" t="str">
        <f t="shared" si="15"/>
        <v>TBD</v>
      </c>
      <c r="F381" s="359" t="s">
        <v>271</v>
      </c>
      <c r="G381" s="360" t="str">
        <f t="shared" si="14"/>
        <v>TBD</v>
      </c>
    </row>
    <row r="382" spans="1:7" ht="15">
      <c r="A382" s="357" t="s">
        <v>187</v>
      </c>
      <c r="B382" s="359" t="s">
        <v>271</v>
      </c>
      <c r="C382" s="360" t="str">
        <f t="shared" si="15"/>
        <v>TBD</v>
      </c>
      <c r="F382" s="359" t="s">
        <v>271</v>
      </c>
      <c r="G382" s="360" t="str">
        <f t="shared" si="14"/>
        <v>TBD</v>
      </c>
    </row>
    <row r="383" spans="1:7" ht="15">
      <c r="A383" s="357" t="s">
        <v>188</v>
      </c>
      <c r="B383" s="359" t="s">
        <v>271</v>
      </c>
      <c r="C383" s="360" t="str">
        <f t="shared" si="15"/>
        <v>TBD</v>
      </c>
      <c r="F383" s="359" t="s">
        <v>271</v>
      </c>
      <c r="G383" s="360" t="str">
        <f t="shared" si="14"/>
        <v>TBD</v>
      </c>
    </row>
    <row r="384" spans="1:7" ht="15">
      <c r="A384" s="357" t="s">
        <v>189</v>
      </c>
      <c r="B384" s="359" t="s">
        <v>271</v>
      </c>
      <c r="C384" s="360" t="str">
        <f t="shared" si="15"/>
        <v>TBD</v>
      </c>
      <c r="F384" s="359" t="s">
        <v>271</v>
      </c>
      <c r="G384" s="360" t="str">
        <f t="shared" si="14"/>
        <v>TBD</v>
      </c>
    </row>
    <row r="385" spans="1:7" ht="15">
      <c r="A385" s="357" t="s">
        <v>190</v>
      </c>
      <c r="B385" s="359" t="s">
        <v>271</v>
      </c>
      <c r="C385" s="360" t="str">
        <f t="shared" si="15"/>
        <v>TBD</v>
      </c>
      <c r="F385" s="359" t="s">
        <v>271</v>
      </c>
      <c r="G385" s="360" t="str">
        <f t="shared" si="14"/>
        <v>TBD</v>
      </c>
    </row>
    <row r="386" spans="1:7" ht="15">
      <c r="A386" s="357" t="s">
        <v>191</v>
      </c>
      <c r="B386" s="359" t="s">
        <v>271</v>
      </c>
      <c r="C386" s="360" t="str">
        <f t="shared" si="15"/>
        <v>TBD</v>
      </c>
      <c r="F386" s="359" t="s">
        <v>271</v>
      </c>
      <c r="G386" s="360" t="str">
        <f t="shared" si="14"/>
        <v>TBD</v>
      </c>
    </row>
    <row r="387" spans="1:7" ht="15">
      <c r="A387" s="357" t="s">
        <v>192</v>
      </c>
      <c r="B387" s="359" t="s">
        <v>271</v>
      </c>
      <c r="C387" s="360" t="str">
        <f t="shared" si="15"/>
        <v>TBD</v>
      </c>
      <c r="F387" s="359" t="s">
        <v>271</v>
      </c>
      <c r="G387" s="360" t="str">
        <f t="shared" si="14"/>
        <v>TBD</v>
      </c>
    </row>
    <row r="388" spans="1:7" ht="15">
      <c r="A388" s="357" t="s">
        <v>193</v>
      </c>
      <c r="B388" s="359" t="s">
        <v>271</v>
      </c>
      <c r="C388" s="360" t="str">
        <f t="shared" si="15"/>
        <v>TBD</v>
      </c>
      <c r="F388" s="359" t="s">
        <v>271</v>
      </c>
      <c r="G388" s="360" t="str">
        <f t="shared" si="14"/>
        <v>TBD</v>
      </c>
    </row>
    <row r="389" spans="1:7" ht="15">
      <c r="A389" s="357" t="s">
        <v>194</v>
      </c>
      <c r="B389" s="359" t="s">
        <v>271</v>
      </c>
      <c r="C389" s="360" t="str">
        <f t="shared" si="15"/>
        <v>TBD</v>
      </c>
      <c r="F389" s="359" t="s">
        <v>271</v>
      </c>
      <c r="G389" s="360" t="str">
        <f t="shared" si="14"/>
        <v>TBD</v>
      </c>
    </row>
    <row r="390" spans="1:7" ht="15">
      <c r="A390" s="357" t="s">
        <v>195</v>
      </c>
      <c r="B390" s="359" t="s">
        <v>271</v>
      </c>
      <c r="C390" s="360" t="str">
        <f t="shared" si="15"/>
        <v>TBD</v>
      </c>
      <c r="F390" s="359" t="s">
        <v>271</v>
      </c>
      <c r="G390" s="360" t="str">
        <f t="shared" si="14"/>
        <v>TBD</v>
      </c>
    </row>
    <row r="391" spans="1:7" ht="15">
      <c r="A391" s="357" t="s">
        <v>196</v>
      </c>
      <c r="B391" s="359" t="s">
        <v>271</v>
      </c>
      <c r="C391" s="360" t="str">
        <f t="shared" si="15"/>
        <v>TBD</v>
      </c>
      <c r="F391" s="359" t="s">
        <v>271</v>
      </c>
      <c r="G391" s="360" t="str">
        <f t="shared" si="14"/>
        <v>TBD</v>
      </c>
    </row>
    <row r="392" spans="1:7" ht="15">
      <c r="A392" s="357" t="s">
        <v>197</v>
      </c>
      <c r="B392" s="359" t="s">
        <v>271</v>
      </c>
      <c r="C392" s="360" t="str">
        <f t="shared" si="15"/>
        <v>TBD</v>
      </c>
      <c r="F392" s="359" t="s">
        <v>271</v>
      </c>
      <c r="G392" s="360" t="str">
        <f t="shared" si="14"/>
        <v>TBD</v>
      </c>
    </row>
    <row r="393" spans="1:7" ht="15">
      <c r="A393" s="357" t="s">
        <v>198</v>
      </c>
      <c r="B393" s="359" t="s">
        <v>271</v>
      </c>
      <c r="C393" s="360" t="str">
        <f t="shared" si="15"/>
        <v>TBD</v>
      </c>
      <c r="F393" s="359" t="s">
        <v>271</v>
      </c>
      <c r="G393" s="360" t="str">
        <f t="shared" si="14"/>
        <v>TBD</v>
      </c>
    </row>
    <row r="394" spans="1:7" ht="15">
      <c r="A394" s="357" t="s">
        <v>199</v>
      </c>
      <c r="B394" s="359" t="s">
        <v>271</v>
      </c>
      <c r="C394" s="360" t="str">
        <f t="shared" si="15"/>
        <v>TBD</v>
      </c>
      <c r="F394" s="359" t="s">
        <v>271</v>
      </c>
      <c r="G394" s="360" t="str">
        <f t="shared" si="14"/>
        <v>TBD</v>
      </c>
    </row>
    <row r="395" spans="1:7" ht="15">
      <c r="A395" s="357" t="s">
        <v>200</v>
      </c>
      <c r="B395" s="359" t="s">
        <v>271</v>
      </c>
      <c r="C395" s="360" t="str">
        <f t="shared" si="15"/>
        <v>TBD</v>
      </c>
      <c r="F395" s="359" t="s">
        <v>271</v>
      </c>
      <c r="G395" s="360" t="str">
        <f t="shared" si="14"/>
        <v>TBD</v>
      </c>
    </row>
    <row r="396" spans="1:7" ht="15">
      <c r="A396" s="357" t="s">
        <v>201</v>
      </c>
      <c r="B396" s="359" t="s">
        <v>271</v>
      </c>
      <c r="C396" s="360" t="str">
        <f t="shared" si="15"/>
        <v>TBD</v>
      </c>
      <c r="F396" s="359" t="s">
        <v>271</v>
      </c>
      <c r="G396" s="360" t="str">
        <f t="shared" si="14"/>
        <v>TBD</v>
      </c>
    </row>
    <row r="397" spans="1:7" ht="15">
      <c r="A397" s="357" t="s">
        <v>202</v>
      </c>
      <c r="B397" s="359" t="s">
        <v>271</v>
      </c>
      <c r="C397" s="360" t="str">
        <f t="shared" si="15"/>
        <v>TBD</v>
      </c>
      <c r="F397" s="359" t="s">
        <v>271</v>
      </c>
      <c r="G397" s="360" t="str">
        <f t="shared" si="14"/>
        <v>TBD</v>
      </c>
    </row>
    <row r="398" spans="1:7" ht="15">
      <c r="A398" s="357" t="s">
        <v>203</v>
      </c>
      <c r="B398" s="359" t="s">
        <v>271</v>
      </c>
      <c r="C398" s="360" t="str">
        <f t="shared" si="15"/>
        <v>TBD</v>
      </c>
      <c r="F398" s="359" t="s">
        <v>271</v>
      </c>
      <c r="G398" s="360" t="str">
        <f t="shared" si="14"/>
        <v>TBD</v>
      </c>
    </row>
    <row r="399" spans="1:7" ht="15">
      <c r="A399" s="357" t="s">
        <v>204</v>
      </c>
      <c r="B399" s="359" t="s">
        <v>271</v>
      </c>
      <c r="C399" s="360" t="str">
        <f t="shared" si="15"/>
        <v>TBD</v>
      </c>
      <c r="F399" s="359" t="s">
        <v>271</v>
      </c>
      <c r="G399" s="360" t="str">
        <f t="shared" si="14"/>
        <v>TBD</v>
      </c>
    </row>
    <row r="400" spans="1:7" ht="15">
      <c r="A400" s="357" t="s">
        <v>205</v>
      </c>
      <c r="B400" s="359" t="s">
        <v>271</v>
      </c>
      <c r="C400" s="360" t="str">
        <f t="shared" si="15"/>
        <v>TBD</v>
      </c>
      <c r="F400" s="359" t="s">
        <v>271</v>
      </c>
      <c r="G400" s="360" t="str">
        <f t="shared" si="14"/>
        <v>TBD</v>
      </c>
    </row>
    <row r="401" spans="1:7" ht="15">
      <c r="A401" s="357" t="s">
        <v>206</v>
      </c>
      <c r="B401" s="359" t="s">
        <v>271</v>
      </c>
      <c r="C401" s="360" t="str">
        <f t="shared" si="15"/>
        <v>TBD</v>
      </c>
      <c r="F401" s="359" t="s">
        <v>271</v>
      </c>
      <c r="G401" s="360" t="str">
        <f t="shared" si="14"/>
        <v>TBD</v>
      </c>
    </row>
    <row r="402" spans="1:7" ht="15">
      <c r="A402" s="357" t="s">
        <v>207</v>
      </c>
      <c r="B402" s="359" t="s">
        <v>271</v>
      </c>
      <c r="C402" s="360" t="str">
        <f t="shared" si="15"/>
        <v>TBD</v>
      </c>
      <c r="F402" s="359" t="s">
        <v>271</v>
      </c>
      <c r="G402" s="360" t="str">
        <f t="shared" si="14"/>
        <v>TBD</v>
      </c>
    </row>
    <row r="403" spans="1:7" ht="15">
      <c r="A403" s="357" t="s">
        <v>208</v>
      </c>
      <c r="B403" s="359" t="s">
        <v>271</v>
      </c>
      <c r="C403" s="360" t="str">
        <f t="shared" si="15"/>
        <v>TBD</v>
      </c>
      <c r="F403" s="359" t="s">
        <v>271</v>
      </c>
      <c r="G403" s="360" t="str">
        <f t="shared" si="14"/>
        <v>TBD</v>
      </c>
    </row>
    <row r="404" spans="1:7" ht="15">
      <c r="A404" s="357" t="s">
        <v>209</v>
      </c>
      <c r="B404" s="359" t="s">
        <v>271</v>
      </c>
      <c r="C404" s="360" t="str">
        <f t="shared" si="15"/>
        <v>TBD</v>
      </c>
      <c r="F404" s="359" t="s">
        <v>271</v>
      </c>
      <c r="G404" s="360" t="str">
        <f t="shared" si="14"/>
        <v>TBD</v>
      </c>
    </row>
    <row r="405" spans="1:7" ht="15">
      <c r="A405" s="357" t="s">
        <v>210</v>
      </c>
      <c r="B405" s="359" t="s">
        <v>271</v>
      </c>
      <c r="C405" s="360" t="str">
        <f t="shared" si="15"/>
        <v>TBD</v>
      </c>
      <c r="F405" s="359" t="s">
        <v>271</v>
      </c>
      <c r="G405" s="360" t="str">
        <f t="shared" si="14"/>
        <v>TBD</v>
      </c>
    </row>
    <row r="406" spans="1:7" ht="15">
      <c r="A406" s="357" t="s">
        <v>211</v>
      </c>
      <c r="B406" s="359" t="s">
        <v>271</v>
      </c>
      <c r="C406" s="360" t="str">
        <f t="shared" si="15"/>
        <v>TBD</v>
      </c>
      <c r="F406" s="359" t="s">
        <v>271</v>
      </c>
      <c r="G406" s="360" t="str">
        <f t="shared" si="14"/>
        <v>TBD</v>
      </c>
    </row>
    <row r="407" spans="1:7" ht="15">
      <c r="A407" s="357" t="s">
        <v>212</v>
      </c>
      <c r="B407" s="359" t="s">
        <v>271</v>
      </c>
      <c r="C407" s="360" t="str">
        <f t="shared" si="15"/>
        <v>TBD</v>
      </c>
      <c r="F407" s="359" t="s">
        <v>271</v>
      </c>
      <c r="G407" s="360" t="str">
        <f t="shared" si="14"/>
        <v>TBD</v>
      </c>
    </row>
    <row r="408" spans="1:7" ht="15">
      <c r="A408" s="357" t="s">
        <v>213</v>
      </c>
      <c r="B408" s="359" t="s">
        <v>271</v>
      </c>
      <c r="C408" s="360" t="str">
        <f t="shared" si="15"/>
        <v>TBD</v>
      </c>
      <c r="F408" s="359" t="s">
        <v>271</v>
      </c>
      <c r="G408" s="360" t="str">
        <f t="shared" si="14"/>
        <v>TBD</v>
      </c>
    </row>
    <row r="409" spans="1:7" ht="15">
      <c r="A409" s="357" t="s">
        <v>214</v>
      </c>
      <c r="B409" s="359" t="s">
        <v>271</v>
      </c>
      <c r="C409" s="360" t="str">
        <f t="shared" si="15"/>
        <v>TBD</v>
      </c>
      <c r="F409" s="359" t="s">
        <v>271</v>
      </c>
      <c r="G409" s="360" t="str">
        <f t="shared" si="14"/>
        <v>TBD</v>
      </c>
    </row>
    <row r="410" spans="1:7" ht="15">
      <c r="A410" s="357" t="s">
        <v>215</v>
      </c>
      <c r="B410" s="359" t="s">
        <v>271</v>
      </c>
      <c r="C410" s="360" t="str">
        <f t="shared" si="15"/>
        <v>TBD</v>
      </c>
      <c r="F410" s="359" t="s">
        <v>271</v>
      </c>
      <c r="G410" s="360" t="str">
        <f t="shared" si="14"/>
        <v>TBD</v>
      </c>
    </row>
    <row r="411" spans="1:7" ht="15">
      <c r="A411" s="357" t="s">
        <v>216</v>
      </c>
      <c r="B411" s="359" t="s">
        <v>271</v>
      </c>
      <c r="C411" s="360" t="str">
        <f t="shared" si="15"/>
        <v>TBD</v>
      </c>
      <c r="F411" s="359" t="s">
        <v>271</v>
      </c>
      <c r="G411" s="360" t="str">
        <f t="shared" si="14"/>
        <v>TBD</v>
      </c>
    </row>
    <row r="412" spans="1:7" ht="15">
      <c r="A412" s="357" t="s">
        <v>217</v>
      </c>
      <c r="B412" s="359" t="s">
        <v>271</v>
      </c>
      <c r="C412" s="360" t="str">
        <f t="shared" si="15"/>
        <v>TBD</v>
      </c>
      <c r="F412" s="359" t="s">
        <v>271</v>
      </c>
      <c r="G412" s="360" t="str">
        <f t="shared" si="14"/>
        <v>TBD</v>
      </c>
    </row>
    <row r="413" spans="1:7" ht="15">
      <c r="A413" s="357" t="s">
        <v>218</v>
      </c>
      <c r="B413" s="359" t="s">
        <v>271</v>
      </c>
      <c r="C413" s="360" t="str">
        <f t="shared" si="15"/>
        <v>TBD</v>
      </c>
      <c r="F413" s="359" t="s">
        <v>271</v>
      </c>
      <c r="G413" s="360" t="str">
        <f t="shared" si="14"/>
        <v>TBD</v>
      </c>
    </row>
    <row r="414" spans="1:7" ht="15">
      <c r="A414" s="357" t="s">
        <v>219</v>
      </c>
      <c r="B414" s="359" t="s">
        <v>271</v>
      </c>
      <c r="C414" s="360" t="str">
        <f t="shared" si="15"/>
        <v>TBD</v>
      </c>
      <c r="F414" s="359" t="s">
        <v>271</v>
      </c>
      <c r="G414" s="360" t="str">
        <f t="shared" si="14"/>
        <v>TBD</v>
      </c>
    </row>
    <row r="415" spans="1:7" ht="15">
      <c r="A415" s="357" t="s">
        <v>220</v>
      </c>
      <c r="B415" s="359" t="s">
        <v>271</v>
      </c>
      <c r="C415" s="360" t="str">
        <f t="shared" si="15"/>
        <v>TBD</v>
      </c>
      <c r="F415" s="359" t="s">
        <v>271</v>
      </c>
      <c r="G415" s="360" t="str">
        <f t="shared" si="14"/>
        <v>TBD</v>
      </c>
    </row>
    <row r="416" spans="1:7" ht="15">
      <c r="A416" s="357" t="s">
        <v>221</v>
      </c>
      <c r="B416" s="359" t="s">
        <v>271</v>
      </c>
      <c r="C416" s="360" t="str">
        <f t="shared" si="15"/>
        <v>TBD</v>
      </c>
      <c r="F416" s="359" t="s">
        <v>271</v>
      </c>
      <c r="G416" s="360" t="str">
        <f t="shared" si="14"/>
        <v>TBD</v>
      </c>
    </row>
    <row r="417" spans="1:7" ht="15">
      <c r="A417" s="357" t="s">
        <v>222</v>
      </c>
      <c r="B417" s="359" t="s">
        <v>271</v>
      </c>
      <c r="C417" s="360" t="str">
        <f t="shared" si="15"/>
        <v>TBD</v>
      </c>
      <c r="F417" s="359" t="s">
        <v>271</v>
      </c>
      <c r="G417" s="360" t="str">
        <f t="shared" si="14"/>
        <v>TBD</v>
      </c>
    </row>
    <row r="418" spans="1:7" ht="15">
      <c r="A418" s="369" t="s">
        <v>182</v>
      </c>
      <c r="B418" s="370" t="s">
        <v>271</v>
      </c>
      <c r="C418" s="360" t="str">
        <f t="shared" si="15"/>
        <v>TBD</v>
      </c>
      <c r="D418" s="371"/>
      <c r="E418" s="371"/>
      <c r="F418" s="370" t="s">
        <v>271</v>
      </c>
      <c r="G418" s="360" t="str">
        <f t="shared" si="14"/>
        <v>TBD</v>
      </c>
    </row>
    <row r="419" spans="1:7" ht="15">
      <c r="A419" s="369" t="s">
        <v>223</v>
      </c>
      <c r="B419" s="370" t="s">
        <v>271</v>
      </c>
      <c r="C419" s="360" t="str">
        <f t="shared" si="15"/>
        <v>TBD</v>
      </c>
      <c r="D419" s="371"/>
      <c r="E419" s="371"/>
      <c r="F419" s="370" t="s">
        <v>271</v>
      </c>
      <c r="G419" s="360" t="str">
        <f t="shared" si="14"/>
        <v>TBD</v>
      </c>
    </row>
    <row r="420" spans="1:7" ht="15">
      <c r="A420" s="369" t="s">
        <v>224</v>
      </c>
      <c r="B420" s="370" t="s">
        <v>271</v>
      </c>
      <c r="C420" s="360" t="str">
        <f t="shared" si="15"/>
        <v>TBD</v>
      </c>
      <c r="D420" s="371"/>
      <c r="E420" s="371"/>
      <c r="F420" s="370" t="s">
        <v>271</v>
      </c>
      <c r="G420" s="360" t="str">
        <f t="shared" si="14"/>
        <v>TBD</v>
      </c>
    </row>
    <row r="421" spans="1:7" ht="15">
      <c r="A421" s="369" t="s">
        <v>225</v>
      </c>
      <c r="B421" s="370" t="s">
        <v>271</v>
      </c>
      <c r="C421" s="360" t="str">
        <f t="shared" si="15"/>
        <v>TBD</v>
      </c>
      <c r="D421" s="371"/>
      <c r="E421" s="371"/>
      <c r="F421" s="370" t="s">
        <v>271</v>
      </c>
      <c r="G421" s="360" t="str">
        <f t="shared" si="14"/>
        <v>TBD</v>
      </c>
    </row>
    <row r="422" spans="1:7" ht="15">
      <c r="A422" s="357" t="s">
        <v>226</v>
      </c>
      <c r="B422" s="359" t="s">
        <v>271</v>
      </c>
      <c r="C422" s="360" t="str">
        <f t="shared" si="15"/>
        <v>TBD</v>
      </c>
      <c r="F422" s="359" t="s">
        <v>271</v>
      </c>
      <c r="G422" s="360" t="str">
        <f t="shared" si="14"/>
        <v>TBD</v>
      </c>
    </row>
    <row r="423" spans="1:7" ht="15">
      <c r="A423" s="357" t="s">
        <v>227</v>
      </c>
      <c r="B423" s="359" t="s">
        <v>271</v>
      </c>
      <c r="C423" s="360" t="str">
        <f t="shared" si="15"/>
        <v>TBD</v>
      </c>
      <c r="F423" s="359" t="s">
        <v>271</v>
      </c>
      <c r="G423" s="360" t="str">
        <f t="shared" si="14"/>
        <v>TBD</v>
      </c>
    </row>
    <row r="424" spans="1:7" ht="15">
      <c r="A424" s="357" t="s">
        <v>228</v>
      </c>
      <c r="B424" s="359" t="s">
        <v>271</v>
      </c>
      <c r="C424" s="360" t="str">
        <f t="shared" si="15"/>
        <v>TBD</v>
      </c>
      <c r="F424" s="359" t="s">
        <v>271</v>
      </c>
      <c r="G424" s="360" t="str">
        <f t="shared" si="14"/>
        <v>TBD</v>
      </c>
    </row>
    <row r="425" spans="1:7" ht="15">
      <c r="A425" s="357" t="s">
        <v>229</v>
      </c>
      <c r="B425" s="359" t="s">
        <v>271</v>
      </c>
      <c r="C425" s="360" t="str">
        <f t="shared" si="15"/>
        <v>TBD</v>
      </c>
      <c r="F425" s="359" t="s">
        <v>271</v>
      </c>
      <c r="G425" s="360" t="str">
        <f t="shared" si="14"/>
        <v>TBD</v>
      </c>
    </row>
    <row r="426" spans="1:7" ht="15">
      <c r="A426" s="357" t="s">
        <v>230</v>
      </c>
      <c r="B426" s="359" t="s">
        <v>271</v>
      </c>
      <c r="C426" s="360" t="str">
        <f t="shared" si="15"/>
        <v>TBD</v>
      </c>
      <c r="F426" s="359" t="s">
        <v>271</v>
      </c>
      <c r="G426" s="360" t="str">
        <f t="shared" si="14"/>
        <v>TBD</v>
      </c>
    </row>
    <row r="427" spans="1:7" ht="15">
      <c r="A427" s="357" t="s">
        <v>231</v>
      </c>
      <c r="B427" s="359" t="s">
        <v>271</v>
      </c>
      <c r="C427" s="360" t="str">
        <f t="shared" si="15"/>
        <v>TBD</v>
      </c>
      <c r="F427" s="359" t="s">
        <v>271</v>
      </c>
      <c r="G427" s="360" t="str">
        <f t="shared" si="14"/>
        <v>TBD</v>
      </c>
    </row>
    <row r="428" spans="1:7" ht="15">
      <c r="A428" s="357" t="s">
        <v>232</v>
      </c>
      <c r="B428" s="359" t="s">
        <v>271</v>
      </c>
      <c r="C428" s="360" t="str">
        <f t="shared" si="15"/>
        <v>TBD</v>
      </c>
      <c r="F428" s="359" t="s">
        <v>271</v>
      </c>
      <c r="G428" s="360" t="str">
        <f t="shared" si="14"/>
        <v>TBD</v>
      </c>
    </row>
    <row r="429" spans="1:7" ht="15">
      <c r="A429" s="357" t="s">
        <v>233</v>
      </c>
      <c r="B429" s="359" t="s">
        <v>271</v>
      </c>
      <c r="C429" s="360" t="str">
        <f t="shared" si="15"/>
        <v>TBD</v>
      </c>
      <c r="F429" s="359" t="s">
        <v>271</v>
      </c>
      <c r="G429" s="360" t="str">
        <f t="shared" si="14"/>
        <v>TBD</v>
      </c>
    </row>
    <row r="430" spans="1:7" ht="15">
      <c r="A430" s="357" t="s">
        <v>234</v>
      </c>
      <c r="B430" s="359" t="s">
        <v>271</v>
      </c>
      <c r="C430" s="360" t="str">
        <f t="shared" si="15"/>
        <v>TBD</v>
      </c>
      <c r="F430" s="359" t="s">
        <v>271</v>
      </c>
      <c r="G430" s="360" t="str">
        <f t="shared" si="14"/>
        <v>TBD</v>
      </c>
    </row>
    <row r="431" spans="1:7" ht="15">
      <c r="A431" s="357" t="s">
        <v>235</v>
      </c>
      <c r="B431" s="359" t="s">
        <v>271</v>
      </c>
      <c r="C431" s="360" t="str">
        <f t="shared" si="15"/>
        <v>TBD</v>
      </c>
      <c r="F431" s="359" t="s">
        <v>271</v>
      </c>
      <c r="G431" s="360" t="str">
        <f t="shared" si="14"/>
        <v>TBD</v>
      </c>
    </row>
    <row r="432" spans="1:7" ht="15">
      <c r="A432" s="357" t="s">
        <v>236</v>
      </c>
      <c r="B432" s="359" t="s">
        <v>271</v>
      </c>
      <c r="C432" s="360" t="str">
        <f t="shared" si="15"/>
        <v>TBD</v>
      </c>
      <c r="F432" s="359" t="s">
        <v>271</v>
      </c>
      <c r="G432" s="360" t="str">
        <f t="shared" si="14"/>
        <v>TBD</v>
      </c>
    </row>
    <row r="433" spans="1:7" ht="15">
      <c r="A433" s="357" t="s">
        <v>237</v>
      </c>
      <c r="B433" s="359" t="s">
        <v>271</v>
      </c>
      <c r="C433" s="360" t="str">
        <f t="shared" si="15"/>
        <v>TBD</v>
      </c>
      <c r="F433" s="359" t="s">
        <v>271</v>
      </c>
      <c r="G433" s="360" t="str">
        <f t="shared" si="14"/>
        <v>TBD</v>
      </c>
    </row>
    <row r="434" spans="1:7" ht="15">
      <c r="A434" s="357" t="s">
        <v>238</v>
      </c>
      <c r="B434" s="359" t="s">
        <v>271</v>
      </c>
      <c r="C434" s="360" t="str">
        <f t="shared" si="15"/>
        <v>TBD</v>
      </c>
      <c r="F434" s="359" t="s">
        <v>271</v>
      </c>
      <c r="G434" s="360" t="str">
        <f t="shared" si="14"/>
        <v>TBD</v>
      </c>
    </row>
    <row r="435" spans="1:7" ht="15">
      <c r="A435" s="357" t="s">
        <v>239</v>
      </c>
      <c r="B435" s="359" t="s">
        <v>271</v>
      </c>
      <c r="C435" s="360" t="str">
        <f t="shared" si="15"/>
        <v>TBD</v>
      </c>
      <c r="F435" s="359" t="s">
        <v>271</v>
      </c>
      <c r="G435" s="360" t="str">
        <f t="shared" si="14"/>
        <v>TBD</v>
      </c>
    </row>
    <row r="436" spans="1:7" ht="15">
      <c r="A436" s="357" t="s">
        <v>140</v>
      </c>
      <c r="B436" s="363" t="s">
        <v>271</v>
      </c>
      <c r="C436" s="364" t="str">
        <f t="shared" si="15"/>
        <v>TBD</v>
      </c>
      <c r="F436" s="359" t="s">
        <v>271</v>
      </c>
      <c r="G436" s="360" t="str">
        <f t="shared" si="14"/>
        <v>TBD</v>
      </c>
    </row>
    <row r="437" spans="1:7" ht="15.75" thickBot="1">
      <c r="A437" s="357" t="s">
        <v>141</v>
      </c>
      <c r="B437" s="384">
        <f>SUM(B378:B436)</f>
        <v>0</v>
      </c>
      <c r="C437" s="362">
        <f>SUM(C378:C436)</f>
        <v>0</v>
      </c>
      <c r="F437" s="603">
        <f>SUM(F378:F436)</f>
        <v>0</v>
      </c>
      <c r="G437" s="501">
        <f>SUM(G378:G436)</f>
        <v>0</v>
      </c>
    </row>
  </sheetData>
  <sheetProtection/>
  <mergeCells count="25">
    <mergeCell ref="A140:G140"/>
    <mergeCell ref="A141:G141"/>
    <mergeCell ref="B145:C145"/>
    <mergeCell ref="F145:G145"/>
    <mergeCell ref="B375:C375"/>
    <mergeCell ref="F375:G375"/>
    <mergeCell ref="A370:G370"/>
    <mergeCell ref="A371:G371"/>
    <mergeCell ref="A214:G214"/>
    <mergeCell ref="A293:G293"/>
    <mergeCell ref="A294:G294"/>
    <mergeCell ref="B298:C298"/>
    <mergeCell ref="F298:G298"/>
    <mergeCell ref="A216:G216"/>
    <mergeCell ref="A217:G217"/>
    <mergeCell ref="B221:C221"/>
    <mergeCell ref="F221:G221"/>
    <mergeCell ref="A4:G4"/>
    <mergeCell ref="A65:G65"/>
    <mergeCell ref="A66:G66"/>
    <mergeCell ref="B70:C70"/>
    <mergeCell ref="F70:G70"/>
    <mergeCell ref="A33:G33"/>
    <mergeCell ref="A5:G5"/>
    <mergeCell ref="A34:G34"/>
  </mergeCells>
  <printOptions/>
  <pageMargins left="1.25" right="1" top="0.75" bottom="0.5" header="0.3" footer="0.3"/>
  <pageSetup fitToHeight="6" fitToWidth="1" horizontalDpi="600" verticalDpi="600" orientation="portrait" scale="62" r:id="rId3"/>
  <headerFooter alignWithMargins="0">
    <oddHeader>&amp;C&amp;"Calibri,Bold"&amp;14&amp;A</oddHeader>
    <oddFooter>&amp;L&amp;Z&amp;F &amp;A</oddFooter>
  </headerFooter>
  <rowBreaks count="1" manualBreakCount="1">
    <brk id="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Mateo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GonzaleG</dc:creator>
  <cp:keywords/>
  <dc:description/>
  <cp:lastModifiedBy>GG</cp:lastModifiedBy>
  <cp:lastPrinted>2013-09-19T16:10:45Z</cp:lastPrinted>
  <dcterms:created xsi:type="dcterms:W3CDTF">2012-11-29T23:46:32Z</dcterms:created>
  <dcterms:modified xsi:type="dcterms:W3CDTF">2013-11-15T18:04:08Z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